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fitservices.sharepoint.com/sites/TeamBox/TS-2016-0108/Narrative Reporting/1. SFCR/2019/4. Final reports/3. Publication on ifs exernal webpage/"/>
    </mc:Choice>
  </mc:AlternateContent>
  <xr:revisionPtr revIDLastSave="8" documentId="13_ncr:1_{F98F1CCF-3D12-4A6D-9F03-628FBB33CE95}" xr6:coauthVersionLast="41" xr6:coauthVersionMax="45" xr10:uidLastSave="{5C4723C9-D57C-4124-87DB-31E6FBA602D5}"/>
  <bookViews>
    <workbookView xWindow="30" yWindow="-16320" windowWidth="29040" windowHeight="15840" xr2:uid="{E8E3CFE2-3FB0-443A-8D77-CBA7F9955E07}"/>
  </bookViews>
  <sheets>
    <sheet name="Entry points" sheetId="1" r:id="rId1"/>
    <sheet name="S.02.01.02" sheetId="2" r:id="rId2"/>
    <sheet name="S.05.01.02" sheetId="3" r:id="rId3"/>
    <sheet name="S.05.02.01" sheetId="4" r:id="rId4"/>
    <sheet name="S.12.01.02" sheetId="5" r:id="rId5"/>
    <sheet name="S.17.01.02" sheetId="6" r:id="rId6"/>
    <sheet name="S.19.01.21" sheetId="7" r:id="rId7"/>
    <sheet name="S.23.01.01" sheetId="8" r:id="rId8"/>
    <sheet name="S.25.02.21" sheetId="9" r:id="rId9"/>
    <sheet name="S.28.01.01" sheetId="10" r:id="rId10"/>
  </sheets>
  <definedNames>
    <definedName name="_xlnm._FilterDatabase" localSheetId="0" hidden="1">'Entry points'!$A$1:$V$117</definedName>
    <definedName name="S.02.01.01" localSheetId="1">'S.02.01.02'!$A$1</definedName>
    <definedName name="S.02.01.01.01" localSheetId="1">'S.02.01.02'!$A$4</definedName>
    <definedName name="S.02.01.01.01.TC" localSheetId="1">'S.02.01.02'!$A$6</definedName>
    <definedName name="S.02.01.01.01.TD" localSheetId="1">'S.02.01.02'!$C$10:$C$94</definedName>
    <definedName name="S.02.01.01.01.TL" localSheetId="1">'S.02.01.02'!$A$10:$A$94</definedName>
    <definedName name="S.02.01.01.01.TLC" localSheetId="1">'S.02.01.02'!$B$10:$B$94</definedName>
    <definedName name="S.02.01.01.01.TT" localSheetId="1">'S.02.01.02'!$C$8:$C$8</definedName>
    <definedName name="S.02.01.01.01.TTC" localSheetId="1">'S.02.01.02'!$C$9:$C$9</definedName>
    <definedName name="S.02.01.01.01.X" localSheetId="1">'S.02.01.02'!$C$95:$C$95</definedName>
    <definedName name="S.02.01.01.01.Y" localSheetId="1">'S.02.01.02'!#REF!</definedName>
    <definedName name="S.02.01.01.VC" localSheetId="1">'S.02.01.02'!$A$2</definedName>
    <definedName name="S.05.01.02" localSheetId="2">'S.05.01.02'!$A$1</definedName>
    <definedName name="S.05.01.02.01" localSheetId="2">'S.05.01.02'!$A$4</definedName>
    <definedName name="S.05.01.02.01.TC" localSheetId="2">'S.05.01.02'!$A$9</definedName>
    <definedName name="S.05.01.02.01.TD" localSheetId="2">'S.05.01.02'!$C$14:$S$40</definedName>
    <definedName name="S.05.01.02.01.TL" localSheetId="2">'S.05.01.02'!$A$14:$A$40</definedName>
    <definedName name="S.05.01.02.01.TLC" localSheetId="2">'S.05.01.02'!$B$14:$B$40</definedName>
    <definedName name="S.05.01.02.01.TT" localSheetId="2">'S.05.01.02'!$C$11:$S$12</definedName>
    <definedName name="S.05.01.02.01.TTC" localSheetId="2">'S.05.01.02'!$C$13:$S$13</definedName>
    <definedName name="S.05.01.02.01.X" localSheetId="2">'S.05.01.02'!$C$41:$S$41</definedName>
    <definedName name="S.05.01.02.01.Y" localSheetId="2">'S.05.01.02'!$T$14:$Z$40</definedName>
    <definedName name="S.05.01.02.01.Z" localSheetId="2">'S.05.01.02'!$A$5:$A$7</definedName>
    <definedName name="S.05.01.02.02" localSheetId="2">'S.05.01.02'!$A$44</definedName>
    <definedName name="S.05.01.02.02.TC" localSheetId="2">'S.05.01.02'!$A$49</definedName>
    <definedName name="S.05.01.02.02.TD" localSheetId="2">'S.05.01.02'!$C$54:$K$72</definedName>
    <definedName name="S.05.01.02.02.TL" localSheetId="2">'S.05.01.02'!$A$54:$A$72</definedName>
    <definedName name="S.05.01.02.02.TLC" localSheetId="2">'S.05.01.02'!$B$54:$B$72</definedName>
    <definedName name="S.05.01.02.02.TT" localSheetId="2">'S.05.01.02'!$C$51:$K$52</definedName>
    <definedName name="S.05.01.02.02.TTC" localSheetId="2">'S.05.01.02'!$C$53:$K$53</definedName>
    <definedName name="S.05.01.02.02.X" localSheetId="2">'S.05.01.02'!$C$73:$K$74</definedName>
    <definedName name="S.05.01.02.02.Y" localSheetId="2">'S.05.01.02'!$L$54:$P$72</definedName>
    <definedName name="S.05.01.02.02.Z" localSheetId="2">'S.05.01.02'!$A$45:$A$47</definedName>
    <definedName name="S.05.01.02.VC" localSheetId="2">'S.05.01.02'!$A$2</definedName>
    <definedName name="S.05.02.01" localSheetId="3">'S.05.02.01'!$A$1</definedName>
    <definedName name="S.05.02.01.01" localSheetId="3">'S.05.02.01'!$A$4</definedName>
    <definedName name="S.05.02.01.01.TC" localSheetId="3">'S.05.02.01'!$A$11</definedName>
    <definedName name="S.05.02.01.01.TD" localSheetId="3">'S.05.02.01'!$C$15:$C$41</definedName>
    <definedName name="S.05.02.01.01.TL" localSheetId="3">'S.05.02.01'!$A$15:$A$41</definedName>
    <definedName name="S.05.02.01.01.TLC" localSheetId="3">'S.05.02.01'!$B$15:$B$41</definedName>
    <definedName name="S.05.02.01.01.TT" localSheetId="3">'S.05.02.01'!$C$13</definedName>
    <definedName name="S.05.02.01.01.TTC" localSheetId="3">'S.05.02.01'!$C$14</definedName>
    <definedName name="S.05.02.01.01.X" localSheetId="3">'S.05.02.01'!$C$42:$C$44</definedName>
    <definedName name="S.05.02.01.01.Y" localSheetId="3">'S.05.02.01'!$P$15:$V$41</definedName>
    <definedName name="S.05.02.01.01.Z" localSheetId="3">'S.05.02.01'!$A$5:$A$7</definedName>
    <definedName name="S.05.02.01.02" localSheetId="3">'S.05.02.01'!$E$4</definedName>
    <definedName name="S.05.02.01.02.TC" localSheetId="3">'S.05.02.01'!$E$11</definedName>
    <definedName name="S.05.02.01.02.TD" localSheetId="3">'S.05.02.01'!$E$15:$E$41</definedName>
    <definedName name="S.05.02.01.02.TL" localSheetId="3">'S.05.02.01'!$A$15:$A$41</definedName>
    <definedName name="S.05.02.01.02.TLC" localSheetId="3">'S.05.02.01'!$B$15:$B$41</definedName>
    <definedName name="S.05.02.01.02.TT" localSheetId="3">'S.05.02.01'!$E$13</definedName>
    <definedName name="S.05.02.01.02.TTC" localSheetId="3">'S.05.02.01'!$E$14</definedName>
    <definedName name="S.05.02.01.02.X" localSheetId="3">'S.05.02.01'!$E$42:$E$44</definedName>
    <definedName name="S.05.02.01.02.XAX" localSheetId="3">'S.05.02.01'!$E$9:$M$9</definedName>
    <definedName name="S.05.02.01.02.Y" localSheetId="3">'S.05.02.01'!$P$15:$V$41</definedName>
    <definedName name="S.05.02.01.02.Z" localSheetId="3">'S.05.02.01'!$E$5:$E$7</definedName>
    <definedName name="S.05.02.01.03" localSheetId="3">'S.05.02.01'!$O$4</definedName>
    <definedName name="S.05.02.01.03.TC" localSheetId="3">'S.05.02.01'!$O$11</definedName>
    <definedName name="S.05.02.01.03.TD" localSheetId="3">'S.05.02.01'!$O$15:$O$41</definedName>
    <definedName name="S.05.02.01.03.TL" localSheetId="3">'S.05.02.01'!$A$15:$A$41</definedName>
    <definedName name="S.05.02.01.03.TLC" localSheetId="3">'S.05.02.01'!$B$15:$B$41</definedName>
    <definedName name="S.05.02.01.03.TT" localSheetId="3">'S.05.02.01'!$O$13</definedName>
    <definedName name="S.05.02.01.03.TTC" localSheetId="3">'S.05.02.01'!$O$14</definedName>
    <definedName name="S.05.02.01.03.X" localSheetId="3">'S.05.02.01'!$O$42:$O$43</definedName>
    <definedName name="S.05.02.01.03.Y" localSheetId="3">'S.05.02.01'!$P$15:$V$41</definedName>
    <definedName name="S.05.02.01.03.Z" localSheetId="3">'S.05.02.01'!$O$5:$O$7</definedName>
    <definedName name="S.05.02.01.04" localSheetId="3">'S.05.02.01'!$A$47</definedName>
    <definedName name="S.05.02.01.04.TC" localSheetId="3">'S.05.02.01'!$A$54</definedName>
    <definedName name="S.05.02.01.04.TD" localSheetId="3">'S.05.02.01'!$C$58:$C$76</definedName>
    <definedName name="S.05.02.01.04.TL" localSheetId="3">'S.05.02.01'!$A$58:$A$76</definedName>
    <definedName name="S.05.02.01.04.TLC" localSheetId="3">'S.05.02.01'!$B$58:$B$76</definedName>
    <definedName name="S.05.02.01.04.TT" localSheetId="3">'S.05.02.01'!$C$56</definedName>
    <definedName name="S.05.02.01.04.TTC" localSheetId="3">'S.05.02.01'!$C$57</definedName>
    <definedName name="S.05.02.01.04.X" localSheetId="3">'S.05.02.01'!$C$77:$C$79</definedName>
    <definedName name="S.05.02.01.04.Y" localSheetId="3">'S.05.02.01'!$P$58:$T$76</definedName>
    <definedName name="S.05.02.01.04.Z" localSheetId="3">'S.05.02.01'!$A$48:$A$50</definedName>
    <definedName name="S.05.02.01.05" localSheetId="3">'S.05.02.01'!$E$47</definedName>
    <definedName name="S.05.02.01.05.TC" localSheetId="3">'S.05.02.01'!$E$54</definedName>
    <definedName name="S.05.02.01.05.TD" localSheetId="3">'S.05.02.01'!$E$58:$E$76</definedName>
    <definedName name="S.05.02.01.05.TL" localSheetId="3">'S.05.02.01'!$A$58:$A$76</definedName>
    <definedName name="S.05.02.01.05.TLC" localSheetId="3">'S.05.02.01'!$B$58:$B$76</definedName>
    <definedName name="S.05.02.01.05.TT" localSheetId="3">'S.05.02.01'!$E$56</definedName>
    <definedName name="S.05.02.01.05.TTC" localSheetId="3">'S.05.02.01'!$E$57</definedName>
    <definedName name="S.05.02.01.05.X" localSheetId="3">'S.05.02.01'!$E$77:$E$79</definedName>
    <definedName name="S.05.02.01.05.XAX" localSheetId="3">'S.05.02.01'!$E$52:$M$52</definedName>
    <definedName name="S.05.02.01.05.Y" localSheetId="3">'S.05.02.01'!$P$58:$T$76</definedName>
    <definedName name="S.05.02.01.05.Z" localSheetId="3">'S.05.02.01'!$E$48:$E$50</definedName>
    <definedName name="S.05.02.01.06" localSheetId="3">'S.05.02.01'!$O$47</definedName>
    <definedName name="S.05.02.01.06.TC" localSheetId="3">'S.05.02.01'!$O$54</definedName>
    <definedName name="S.05.02.01.06.TD" localSheetId="3">'S.05.02.01'!$O$58:$O$76</definedName>
    <definedName name="S.05.02.01.06.TL" localSheetId="3">'S.05.02.01'!$A$58:$A$76</definedName>
    <definedName name="S.05.02.01.06.TLC" localSheetId="3">'S.05.02.01'!$B$58:$B$76</definedName>
    <definedName name="S.05.02.01.06.TT" localSheetId="3">'S.05.02.01'!$O$56</definedName>
    <definedName name="S.05.02.01.06.TTC" localSheetId="3">'S.05.02.01'!$O$57</definedName>
    <definedName name="S.05.02.01.06.X" localSheetId="3">'S.05.02.01'!$O$77:$O$79</definedName>
    <definedName name="S.05.02.01.06.Y" localSheetId="3">'S.05.02.01'!$P$58:$T$76</definedName>
    <definedName name="S.05.02.01.06.Z" localSheetId="3">'S.05.02.01'!$O$48:$O$50</definedName>
    <definedName name="S.05.02.01.VC" localSheetId="3">'S.05.02.01'!$A$2</definedName>
    <definedName name="S.12.01.02" localSheetId="4">'S.12.01.02'!$A$1</definedName>
    <definedName name="S.12.01.02.01" localSheetId="4">'S.12.01.02'!$A$4</definedName>
    <definedName name="S.12.01.02.01.TC" localSheetId="4">'S.12.01.02'!$A$6</definedName>
    <definedName name="S.12.01.02.01.TD" localSheetId="4">'S.12.01.02'!$C$11:$R$23</definedName>
    <definedName name="S.12.01.02.01.TL" localSheetId="4">'S.12.01.02'!$A$11:$A$23</definedName>
    <definedName name="S.12.01.02.01.TLC" localSheetId="4">'S.12.01.02'!$B$11:$B$23</definedName>
    <definedName name="S.12.01.02.01.TT" localSheetId="4">'S.12.01.02'!$C$8:$R$9</definedName>
    <definedName name="S.12.01.02.01.TTC" localSheetId="4">'S.12.01.02'!$C$10:$R$10</definedName>
    <definedName name="S.12.01.02.01.X" localSheetId="4">'S.12.01.02'!$C$24:$R$26</definedName>
    <definedName name="S.12.01.02.01.Y" localSheetId="4">'S.12.01.02'!$S$11:$AB$23</definedName>
    <definedName name="S.12.01.02.VC" localSheetId="4">'S.12.01.02'!$A$2</definedName>
    <definedName name="S.17.01.02" localSheetId="5">'S.17.01.02'!$A$1</definedName>
    <definedName name="S.17.01.02.01" localSheetId="5">'S.17.01.02'!$A$4</definedName>
    <definedName name="S.17.01.02.01.TC" localSheetId="5">'S.17.01.02'!$A$6</definedName>
    <definedName name="S.17.01.02.01.TD" localSheetId="5">'S.17.01.02'!$C$11:$S$33</definedName>
    <definedName name="S.17.01.02.01.TL" localSheetId="5">'S.17.01.02'!$A$11:$A$33</definedName>
    <definedName name="S.17.01.02.01.TLC" localSheetId="5">'S.17.01.02'!$B$11:$B$33</definedName>
    <definedName name="S.17.01.02.01.TT" localSheetId="5">'S.17.01.02'!$C$8:$S$9</definedName>
    <definedName name="S.17.01.02.01.TTC" localSheetId="5">'S.17.01.02'!$C$10:$S$10</definedName>
    <definedName name="S.17.01.02.01.X" localSheetId="5">'S.17.01.02'!$C$34:$S$34</definedName>
    <definedName name="S.17.01.02.01.Y" localSheetId="5">'S.17.01.02'!$T$11:$AA$33</definedName>
    <definedName name="S.17.01.02.VC" localSheetId="5">'S.17.01.02'!$A$2</definedName>
    <definedName name="S.19.01.21" localSheetId="6">'S.19.01.21'!$A$1</definedName>
    <definedName name="S.19.01.21.01" localSheetId="6">'S.19.01.21'!$A$5</definedName>
    <definedName name="S.19.01.21.01.TC" localSheetId="6">'S.19.01.21'!$A$17</definedName>
    <definedName name="S.19.01.21.01.TD" localSheetId="6">'S.19.01.21'!$C$22:$M$32</definedName>
    <definedName name="S.19.01.21.01.TL" localSheetId="6">'S.19.01.21'!$A$22:$A$32</definedName>
    <definedName name="S.19.01.21.01.TLC" localSheetId="6">'S.19.01.21'!$B$22:$B$32</definedName>
    <definedName name="S.19.01.21.01.TT" localSheetId="6">'S.19.01.21'!$C$20:$M$20</definedName>
    <definedName name="S.19.01.21.01.TTC" localSheetId="6">'S.19.01.21'!$C$21:$M$21</definedName>
    <definedName name="S.19.01.21.01.X" localSheetId="6">'S.19.01.21'!$C$33:$M$33</definedName>
    <definedName name="S.19.01.21.01.Y" localSheetId="6">'S.19.01.21'!$N$22:$N$32</definedName>
    <definedName name="S.19.01.21.01.Z" localSheetId="6">'S.19.01.21'!$A$6:$A$12</definedName>
    <definedName name="S.19.01.21.01.ZHI" localSheetId="6">'S.19.01.21'!$A$12:$D$12</definedName>
    <definedName name="S.19.01.21.02" localSheetId="6">'S.19.01.21'!$P$5</definedName>
    <definedName name="S.19.01.21.02.TC" localSheetId="6">'S.19.01.21'!$P$17</definedName>
    <definedName name="S.19.01.21.02.TD" localSheetId="6">'S.19.01.21'!$R$22:$S$33</definedName>
    <definedName name="S.19.01.21.02.TL" localSheetId="6">'S.19.01.21'!$P$22:$P$33</definedName>
    <definedName name="S.19.01.21.02.TLC" localSheetId="6">'S.19.01.21'!$Q$22:$Q$33</definedName>
    <definedName name="S.19.01.21.02.TT" localSheetId="6">'S.19.01.21'!$R$20:$S$20</definedName>
    <definedName name="S.19.01.21.02.TTC" localSheetId="6">'S.19.01.21'!$R$21:$S$21</definedName>
    <definedName name="S.19.01.21.02.X" localSheetId="6">'S.19.01.21'!$R$34:$S$34</definedName>
    <definedName name="S.19.01.21.02.Y" localSheetId="6">'S.19.01.21'!$T$22:$U$33</definedName>
    <definedName name="S.19.01.21.02.Z" localSheetId="6">'S.19.01.21'!$P$6:$P$11</definedName>
    <definedName name="S.19.01.21.02.ZHI" localSheetId="6">'S.19.01.21'!$P$11:$S$11</definedName>
    <definedName name="S.19.01.21.03" localSheetId="6">'S.19.01.21'!$W$5</definedName>
    <definedName name="S.19.01.21.03.TC" localSheetId="6">'S.19.01.21'!$W$17</definedName>
    <definedName name="S.19.01.21.03.TD" localSheetId="6">'S.19.01.21'!$Y$22:$AI$32</definedName>
    <definedName name="S.19.01.21.03.TL" localSheetId="6">'S.19.01.21'!$W$22:$W$32</definedName>
    <definedName name="S.19.01.21.03.TLC" localSheetId="6">'S.19.01.21'!$X$22:$X$32</definedName>
    <definedName name="S.19.01.21.03.TT" localSheetId="6">'S.19.01.21'!$Y$20:$AI$20</definedName>
    <definedName name="S.19.01.21.03.TTC" localSheetId="6">'S.19.01.21'!$Y$21:$AI$21</definedName>
    <definedName name="S.19.01.21.03.X" localSheetId="6">'S.19.01.21'!$Y$33:$AI$33</definedName>
    <definedName name="S.19.01.21.03.Y" localSheetId="6">'S.19.01.21'!$AJ$22:$AJ$32</definedName>
    <definedName name="S.19.01.21.03.Z" localSheetId="6">'S.19.01.21'!$W$6:$W$13</definedName>
    <definedName name="S.19.01.21.03.ZHI" localSheetId="6">'S.19.01.21'!$W$13:$Z$13</definedName>
    <definedName name="S.19.01.21.04" localSheetId="6">'S.19.01.21'!$AL$5</definedName>
    <definedName name="S.19.01.21.04.TC" localSheetId="6">'S.19.01.21'!$AL$17</definedName>
    <definedName name="S.19.01.21.04.TD" localSheetId="6">'S.19.01.21'!$AN$22:$AN$33</definedName>
    <definedName name="S.19.01.21.04.TL" localSheetId="6">'S.19.01.21'!$AL$22:$AL$33</definedName>
    <definedName name="S.19.01.21.04.TLC" localSheetId="6">'S.19.01.21'!$AM$22:$AM$33</definedName>
    <definedName name="S.19.01.21.04.TT" localSheetId="6">'S.19.01.21'!$AN$20</definedName>
    <definedName name="S.19.01.21.04.TTC" localSheetId="6">'S.19.01.21'!$AN$21</definedName>
    <definedName name="S.19.01.21.04.Y" localSheetId="6">'S.19.01.21'!$AO$22:$AO$33</definedName>
    <definedName name="S.19.01.21.04.Z" localSheetId="6">'S.19.01.21'!$AL$6:$AL$13</definedName>
    <definedName name="S.19.01.21.04.ZHI" localSheetId="6">'S.19.01.21'!$AL$13:$AO$13</definedName>
    <definedName name="S.19.01.21.VC" localSheetId="6">'S.19.01.21'!$A$2</definedName>
    <definedName name="S.23.01.01" localSheetId="7">'S.23.01.01'!$A$1</definedName>
    <definedName name="S.23.01.01.01" localSheetId="7">'S.23.01.01'!$A$4</definedName>
    <definedName name="S.23.01.01.01.TC" localSheetId="7">'S.23.01.01'!$A$8</definedName>
    <definedName name="S.23.01.01.01.TD" localSheetId="7">'S.23.01.01'!$D$12:$H$48</definedName>
    <definedName name="S.23.01.01.01.TL" localSheetId="7">'S.23.01.01'!$B$12:$B$48</definedName>
    <definedName name="S.23.01.01.01.TLC" localSheetId="7">'S.23.01.01'!$C$12:$C$48</definedName>
    <definedName name="S.23.01.01.01.TT" localSheetId="7">'S.23.01.01'!$D$10:$H$10</definedName>
    <definedName name="S.23.01.01.01.TTC" localSheetId="7">'S.23.01.01'!$D$11:$H$11</definedName>
    <definedName name="S.23.01.01.01.X" localSheetId="7">'S.23.01.01'!$D$49:$H$49</definedName>
    <definedName name="S.23.01.01.01.Y" localSheetId="7">'S.23.01.01'!$I$12:$N$48</definedName>
    <definedName name="S.23.01.01.01.Z" localSheetId="7">'S.23.01.01'!$A$5:$A$6</definedName>
    <definedName name="S.23.01.01.02" localSheetId="7">'S.23.01.01'!$A$52</definedName>
    <definedName name="S.23.01.01.02.TC" localSheetId="7">'S.23.01.01'!$A$56</definedName>
    <definedName name="S.23.01.01.02.TD" localSheetId="7">'S.23.01.01'!$D$59:$D$69</definedName>
    <definedName name="S.23.01.01.02.TL" localSheetId="7">'S.23.01.01'!$B$59:$B$69</definedName>
    <definedName name="S.23.01.01.02.TLC" localSheetId="7">'S.23.01.01'!$C$59:$C$69</definedName>
    <definedName name="S.23.01.01.02.TTC" localSheetId="7">'S.23.01.01'!$D$58</definedName>
    <definedName name="S.23.01.01.02.Y" localSheetId="7">'S.23.01.01'!$E$59:$J$69</definedName>
    <definedName name="S.23.01.01.02.Z" localSheetId="7">'S.23.01.01'!$A$53:$A$54</definedName>
    <definedName name="S.23.01.01.VC" localSheetId="7">'S.23.01.01'!$A$2</definedName>
    <definedName name="S.25.02.21" localSheetId="8">'S.25.02.21'!$A$1</definedName>
    <definedName name="S.25.02.21.01" localSheetId="8">'S.25.02.21'!$A$4</definedName>
    <definedName name="S.25.02.21.01.TC" localSheetId="8">'S.25.02.21'!$A$6</definedName>
    <definedName name="S.25.02.21.01.TD" localSheetId="8">'S.25.02.21'!$B$10:$F$10</definedName>
    <definedName name="S.25.02.21.01.TK" localSheetId="8">'S.25.02.21'!$A$8</definedName>
    <definedName name="S.25.02.21.01.TKC" localSheetId="8">'S.25.02.21'!$A$9</definedName>
    <definedName name="S.25.02.21.01.TT" localSheetId="8">'S.25.02.21'!$B$8:$F$8</definedName>
    <definedName name="S.25.02.21.01.TTC" localSheetId="8">'S.25.02.21'!$B$9:$F$9</definedName>
    <definedName name="S.25.02.21.01.X" localSheetId="8">'S.25.02.21'!$B$11:$F$16</definedName>
    <definedName name="S.25.02.21.01.Y" localSheetId="8">'S.25.02.21'!$A$11:$A$12</definedName>
    <definedName name="S.25.02.21.02" localSheetId="8">'S.25.02.21'!$A$19</definedName>
    <definedName name="S.25.02.21.02.TC" localSheetId="8">'S.25.02.21'!$A$23</definedName>
    <definedName name="S.25.02.21.02.TD" localSheetId="8">'S.25.02.21'!$C$26:$C$39</definedName>
    <definedName name="S.25.02.21.02.TL" localSheetId="8">'S.25.02.21'!$A$26:$A$39</definedName>
    <definedName name="S.25.02.21.02.TLC" localSheetId="8">'S.25.02.21'!$B$26:$B$39</definedName>
    <definedName name="S.25.02.21.02.TTC" localSheetId="8">'S.25.02.21'!$C$25</definedName>
    <definedName name="S.25.02.21.02.Y" localSheetId="8">'S.25.02.21'!$D$26:$O$39</definedName>
    <definedName name="S.25.02.21.02.Z" localSheetId="8">'S.25.02.21'!$A$20:$A$21</definedName>
    <definedName name="S.25.02.21.03" localSheetId="8">'S.25.02.21'!#REF!</definedName>
    <definedName name="S.25.02.21.03.TC" localSheetId="8">'S.25.02.21'!#REF!</definedName>
    <definedName name="S.25.02.21.03.TD" localSheetId="8">'S.25.02.21'!#REF!</definedName>
    <definedName name="S.25.02.21.03.TL" localSheetId="8">'S.25.02.21'!#REF!</definedName>
    <definedName name="S.25.02.21.03.TLC" localSheetId="8">'S.25.02.21'!#REF!</definedName>
    <definedName name="S.25.02.21.03.TT" localSheetId="8">'S.25.02.21'!#REF!</definedName>
    <definedName name="S.25.02.21.03.TTC" localSheetId="8">'S.25.02.21'!#REF!</definedName>
    <definedName name="S.25.02.21.03.Y" localSheetId="8">'S.25.02.21'!#REF!</definedName>
    <definedName name="S.25.02.21.05" localSheetId="8">'S.25.02.21'!#REF!</definedName>
    <definedName name="S.25.02.21.05.TC" localSheetId="8">'S.25.02.21'!#REF!</definedName>
    <definedName name="S.25.02.21.05.TD" localSheetId="8">'S.25.02.21'!#REF!</definedName>
    <definedName name="S.25.02.21.05.TL" localSheetId="8">'S.25.02.21'!#REF!</definedName>
    <definedName name="S.25.02.21.05.TLC" localSheetId="8">'S.25.02.21'!#REF!</definedName>
    <definedName name="S.25.02.21.05.TT" localSheetId="8">'S.25.02.21'!#REF!</definedName>
    <definedName name="S.25.02.21.05.TTC" localSheetId="8">'S.25.02.21'!#REF!</definedName>
    <definedName name="S.25.02.21.05.X" localSheetId="8">'S.25.02.21'!#REF!</definedName>
    <definedName name="S.25.02.21.05.Y" localSheetId="8">'S.25.02.21'!#REF!</definedName>
    <definedName name="S.25.02.21.VC" localSheetId="8">'S.25.02.21'!$A$2</definedName>
    <definedName name="S.28.01.01" localSheetId="9">'S.28.01.01'!$A$1</definedName>
    <definedName name="S.28.01.01.01" localSheetId="9">'S.28.01.01'!$A$4</definedName>
    <definedName name="S.28.01.01.01.TC" localSheetId="9">'S.28.01.01'!$A$6</definedName>
    <definedName name="S.28.01.01.01.TD" localSheetId="9">'S.28.01.01'!$C$10</definedName>
    <definedName name="S.28.01.01.01.TL" localSheetId="9">'S.28.01.01'!$A$10</definedName>
    <definedName name="S.28.01.01.01.TLC" localSheetId="9">'S.28.01.01'!$B$10</definedName>
    <definedName name="S.28.01.01.01.TT" localSheetId="9">'S.28.01.01'!$C$8</definedName>
    <definedName name="S.28.01.01.01.TTC" localSheetId="9">'S.28.01.01'!$C$9</definedName>
    <definedName name="S.28.01.01.01.Y" localSheetId="9">'S.28.01.01'!$D$10:$J$10</definedName>
    <definedName name="S.28.01.01.02" localSheetId="9">'S.28.01.01'!$A$12</definedName>
    <definedName name="S.28.01.01.02.TC" localSheetId="9">'S.28.01.01'!$A$16</definedName>
    <definedName name="S.28.01.01.02.TD" localSheetId="9">'S.28.01.01'!$C$21:$D$36</definedName>
    <definedName name="S.28.01.01.02.TL" localSheetId="9">'S.28.01.01'!$A$21:$A$36</definedName>
    <definedName name="S.28.01.01.02.TLC" localSheetId="9">'S.28.01.01'!$B$21:$B$36</definedName>
    <definedName name="S.28.01.01.02.TT" localSheetId="9">'S.28.01.01'!$C$18:$D$19</definedName>
    <definedName name="S.28.01.01.02.TTC" localSheetId="9">'S.28.01.01'!$C$20:$D$20</definedName>
    <definedName name="S.28.01.01.02.X" localSheetId="9">'S.28.01.01'!$C$37:$D$42</definedName>
    <definedName name="S.28.01.01.02.Y" localSheetId="9">'S.28.01.01'!$E$21:$E$36</definedName>
    <definedName name="S.28.01.01.02.Z" localSheetId="9">'S.28.01.01'!$A$13:$A$14</definedName>
    <definedName name="S.28.01.01.03" localSheetId="9">'S.28.01.01'!$A$44</definedName>
    <definedName name="S.28.01.01.03.TC" localSheetId="9">'S.28.01.01'!$A$46</definedName>
    <definedName name="S.28.01.01.03.TD" localSheetId="9">'S.28.01.01'!$C$49</definedName>
    <definedName name="S.28.01.01.03.TL" localSheetId="9">'S.28.01.01'!$A$49</definedName>
    <definedName name="S.28.01.01.03.TLC" localSheetId="9">'S.28.01.01'!$B$49</definedName>
    <definedName name="S.28.01.01.03.TTC" localSheetId="9">'S.28.01.01'!$C$48</definedName>
    <definedName name="S.28.01.01.03.Y" localSheetId="9">'S.28.01.01'!$D$49:$J$49</definedName>
    <definedName name="S.28.01.01.04" localSheetId="9">'S.28.01.01'!$A$51</definedName>
    <definedName name="S.28.01.01.04.TC" localSheetId="9">'S.28.01.01'!$A$55</definedName>
    <definedName name="S.28.01.01.04.TD" localSheetId="9">'S.28.01.01'!$C$59:$D$63</definedName>
    <definedName name="S.28.01.01.04.TL" localSheetId="9">'S.28.01.01'!$A$59:$A$63</definedName>
    <definedName name="S.28.01.01.04.TLC" localSheetId="9">'S.28.01.01'!$B$59:$B$63</definedName>
    <definedName name="S.28.01.01.04.TT" localSheetId="9">'S.28.01.01'!$C$57:$D$57</definedName>
    <definedName name="S.28.01.01.04.TTC" localSheetId="9">'S.28.01.01'!$C$58:$D$58</definedName>
    <definedName name="S.28.01.01.04.X" localSheetId="9">'S.28.01.01'!$C$64:$D$68</definedName>
    <definedName name="S.28.01.01.04.Y" localSheetId="9">'S.28.01.01'!$E$59:$F$63</definedName>
    <definedName name="S.28.01.01.04.Z" localSheetId="9">'S.28.01.01'!$A$52:$A$53</definedName>
    <definedName name="S.28.01.01.05" localSheetId="9">'S.28.01.01'!$A$70</definedName>
    <definedName name="S.28.01.01.05.TC" localSheetId="9">'S.28.01.01'!$A$74</definedName>
    <definedName name="S.28.01.01.05.TD" localSheetId="9">'S.28.01.01'!$C$77:$C$83</definedName>
    <definedName name="S.28.01.01.05.TL" localSheetId="9">'S.28.01.01'!$A$77:$A$83</definedName>
    <definedName name="S.28.01.01.05.TLC" localSheetId="9">'S.28.01.01'!$B$77:$B$83</definedName>
    <definedName name="S.28.01.01.05.TTC" localSheetId="9">'S.28.01.01'!$C$76</definedName>
    <definedName name="S.28.01.01.05.Y" localSheetId="9">'S.28.01.01'!$D$77:$G$83</definedName>
    <definedName name="S.28.01.01.05.Z" localSheetId="9">'S.28.01.01'!$A$71:$A$72</definedName>
    <definedName name="S.28.01.01.VC" localSheetId="9">'S.28.01.01'!$A$2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17" i="1" l="1"/>
  <c r="S116" i="1"/>
  <c r="S115" i="1"/>
  <c r="S114" i="1"/>
  <c r="S113" i="1"/>
  <c r="S112" i="1"/>
  <c r="S111" i="1"/>
  <c r="Q110" i="1"/>
  <c r="O110" i="1"/>
  <c r="Q109" i="1"/>
  <c r="O109" i="1"/>
  <c r="R108" i="1"/>
  <c r="Q108" i="1"/>
  <c r="P108" i="1"/>
  <c r="O108" i="1"/>
  <c r="R107" i="1"/>
  <c r="Q107" i="1"/>
  <c r="P107" i="1"/>
  <c r="O107" i="1"/>
  <c r="R106" i="1"/>
  <c r="Q106" i="1"/>
  <c r="P106" i="1"/>
  <c r="O106" i="1"/>
  <c r="R105" i="1"/>
  <c r="Q105" i="1"/>
  <c r="P105" i="1"/>
  <c r="O105" i="1"/>
  <c r="Q104" i="1"/>
  <c r="O104" i="1"/>
  <c r="G104" i="1"/>
  <c r="E104" i="1"/>
  <c r="C104" i="1"/>
  <c r="Q103" i="1"/>
  <c r="O103" i="1"/>
  <c r="G103" i="1"/>
  <c r="E103" i="1"/>
  <c r="C103" i="1"/>
  <c r="Q102" i="1"/>
  <c r="O102" i="1"/>
  <c r="G102" i="1"/>
  <c r="E102" i="1"/>
  <c r="C102" i="1"/>
  <c r="Q101" i="1"/>
  <c r="O101" i="1"/>
  <c r="G101" i="1"/>
  <c r="E101" i="1"/>
  <c r="C101" i="1"/>
  <c r="Q100" i="1"/>
  <c r="O100" i="1"/>
  <c r="G100" i="1"/>
  <c r="E100" i="1"/>
  <c r="C100" i="1"/>
  <c r="Q99" i="1"/>
  <c r="O99" i="1"/>
  <c r="G99" i="1"/>
  <c r="E99" i="1"/>
  <c r="C99" i="1"/>
  <c r="Q98" i="1"/>
  <c r="O98" i="1"/>
  <c r="G98" i="1"/>
  <c r="E98" i="1"/>
  <c r="C98" i="1"/>
  <c r="Q97" i="1"/>
  <c r="O97" i="1"/>
  <c r="G97" i="1"/>
  <c r="E97" i="1"/>
  <c r="C97" i="1"/>
  <c r="Q96" i="1"/>
  <c r="O96" i="1"/>
  <c r="G96" i="1"/>
  <c r="E96" i="1"/>
  <c r="C96" i="1"/>
  <c r="Q95" i="1"/>
  <c r="O95" i="1"/>
  <c r="G95" i="1"/>
  <c r="E95" i="1"/>
  <c r="C95" i="1"/>
  <c r="Q94" i="1"/>
  <c r="O94" i="1"/>
  <c r="G94" i="1"/>
  <c r="E94" i="1"/>
  <c r="C94" i="1"/>
  <c r="Q93" i="1"/>
  <c r="O93" i="1"/>
  <c r="G93" i="1"/>
  <c r="C93" i="1"/>
  <c r="Q92" i="1"/>
  <c r="O92" i="1"/>
  <c r="G92" i="1"/>
  <c r="C92" i="1"/>
  <c r="Q91" i="1"/>
  <c r="O91" i="1"/>
  <c r="G91" i="1"/>
  <c r="C91" i="1"/>
  <c r="Q90" i="1"/>
  <c r="O90" i="1"/>
  <c r="G90" i="1"/>
  <c r="C90" i="1"/>
  <c r="Q89" i="1"/>
  <c r="O89" i="1"/>
  <c r="G89" i="1"/>
  <c r="E89" i="1"/>
  <c r="C89" i="1"/>
  <c r="Q88" i="1"/>
  <c r="O88" i="1"/>
  <c r="G88" i="1"/>
  <c r="E88" i="1"/>
  <c r="C88" i="1"/>
  <c r="N87" i="1"/>
  <c r="L87" i="1"/>
  <c r="J87" i="1"/>
  <c r="M86" i="1"/>
  <c r="K86" i="1"/>
  <c r="I86" i="1"/>
  <c r="N85" i="1"/>
  <c r="L85" i="1"/>
  <c r="J85" i="1"/>
  <c r="M84" i="1"/>
  <c r="K84" i="1"/>
  <c r="I84" i="1"/>
  <c r="E83" i="1"/>
  <c r="O82" i="1"/>
  <c r="E82" i="1"/>
  <c r="C82" i="1"/>
  <c r="O81" i="1"/>
  <c r="E81" i="1"/>
  <c r="C81" i="1"/>
  <c r="O80" i="1"/>
  <c r="E80" i="1"/>
  <c r="C80" i="1"/>
  <c r="O79" i="1"/>
  <c r="E79" i="1"/>
  <c r="C79" i="1"/>
  <c r="E78" i="1"/>
  <c r="E77" i="1"/>
  <c r="E76" i="1"/>
  <c r="E75" i="1"/>
  <c r="Q74" i="1"/>
  <c r="O74" i="1"/>
  <c r="G74" i="1"/>
  <c r="E74" i="1"/>
  <c r="C74" i="1"/>
  <c r="Q73" i="1"/>
  <c r="O73" i="1"/>
  <c r="G73" i="1"/>
  <c r="E73" i="1"/>
  <c r="C73" i="1"/>
  <c r="Q72" i="1"/>
  <c r="O72" i="1"/>
  <c r="G72" i="1"/>
  <c r="C72" i="1"/>
  <c r="Q71" i="1"/>
  <c r="O71" i="1"/>
  <c r="G71" i="1"/>
  <c r="C71" i="1"/>
  <c r="Q70" i="1"/>
  <c r="O70" i="1"/>
  <c r="G70" i="1"/>
  <c r="C70" i="1"/>
  <c r="Q69" i="1"/>
  <c r="O69" i="1"/>
  <c r="G69" i="1"/>
  <c r="C69" i="1"/>
  <c r="Q68" i="1"/>
  <c r="O68" i="1"/>
  <c r="G68" i="1"/>
  <c r="C68" i="1"/>
  <c r="Q67" i="1"/>
  <c r="O67" i="1"/>
  <c r="G67" i="1"/>
  <c r="C67" i="1"/>
  <c r="Q66" i="1"/>
  <c r="O66" i="1"/>
  <c r="G66" i="1"/>
  <c r="C66" i="1"/>
  <c r="Q65" i="1"/>
  <c r="O65" i="1"/>
  <c r="G65" i="1"/>
  <c r="C65" i="1"/>
  <c r="T64" i="1"/>
  <c r="R64" i="1"/>
  <c r="Q64" i="1"/>
  <c r="P64" i="1"/>
  <c r="O64" i="1"/>
  <c r="H64" i="1"/>
  <c r="G64" i="1"/>
  <c r="D64" i="1"/>
  <c r="C64" i="1"/>
  <c r="T63" i="1"/>
  <c r="R63" i="1"/>
  <c r="Q63" i="1"/>
  <c r="P63" i="1"/>
  <c r="O63" i="1"/>
  <c r="H63" i="1"/>
  <c r="G63" i="1"/>
  <c r="D63" i="1"/>
  <c r="C63" i="1"/>
  <c r="Q62" i="1"/>
  <c r="O62" i="1"/>
  <c r="G62" i="1"/>
  <c r="E62" i="1"/>
  <c r="C62" i="1"/>
  <c r="Q61" i="1"/>
  <c r="O61" i="1"/>
  <c r="G61" i="1"/>
  <c r="E61" i="1"/>
  <c r="C61" i="1"/>
  <c r="Q60" i="1"/>
  <c r="O60" i="1"/>
  <c r="G60" i="1"/>
  <c r="E60" i="1"/>
  <c r="C60" i="1"/>
  <c r="Q59" i="1"/>
  <c r="O59" i="1"/>
  <c r="G59" i="1"/>
  <c r="E59" i="1"/>
  <c r="C59" i="1"/>
  <c r="Q58" i="1"/>
  <c r="O58" i="1"/>
  <c r="G58" i="1"/>
  <c r="E58" i="1"/>
  <c r="C58" i="1"/>
  <c r="Q57" i="1"/>
  <c r="O57" i="1"/>
  <c r="G57" i="1"/>
  <c r="E57" i="1"/>
  <c r="C57" i="1"/>
  <c r="Q56" i="1"/>
  <c r="O56" i="1"/>
  <c r="G56" i="1"/>
  <c r="E56" i="1"/>
  <c r="C56" i="1"/>
  <c r="Q55" i="1"/>
  <c r="O55" i="1"/>
  <c r="G55" i="1"/>
  <c r="E55" i="1"/>
  <c r="C55" i="1"/>
  <c r="N54" i="1"/>
  <c r="L54" i="1"/>
  <c r="J54" i="1"/>
  <c r="Q53" i="1"/>
  <c r="O53" i="1"/>
  <c r="G53" i="1"/>
  <c r="E53" i="1"/>
  <c r="C53" i="1"/>
  <c r="Q52" i="1"/>
  <c r="O52" i="1"/>
  <c r="G52" i="1"/>
  <c r="E52" i="1"/>
  <c r="C52" i="1"/>
  <c r="Q51" i="1"/>
  <c r="O51" i="1"/>
  <c r="G51" i="1"/>
  <c r="E51" i="1"/>
  <c r="C51" i="1"/>
  <c r="Q50" i="1"/>
  <c r="O50" i="1"/>
  <c r="G50" i="1"/>
  <c r="C50" i="1"/>
  <c r="O49" i="1"/>
  <c r="E49" i="1"/>
  <c r="C49" i="1"/>
  <c r="Q48" i="1"/>
  <c r="O48" i="1"/>
  <c r="G48" i="1"/>
  <c r="E48" i="1"/>
  <c r="C48" i="1"/>
  <c r="O47" i="1"/>
  <c r="E47" i="1"/>
  <c r="C47" i="1"/>
  <c r="T46" i="1"/>
  <c r="R46" i="1"/>
  <c r="Q46" i="1"/>
  <c r="P46" i="1"/>
  <c r="O46" i="1"/>
  <c r="L46" i="1"/>
  <c r="H46" i="1"/>
  <c r="G46" i="1"/>
  <c r="F46" i="1"/>
  <c r="E46" i="1"/>
  <c r="D46" i="1"/>
  <c r="C46" i="1"/>
  <c r="Q45" i="1"/>
  <c r="O45" i="1"/>
  <c r="G45" i="1"/>
  <c r="C45" i="1"/>
  <c r="Q44" i="1"/>
  <c r="O44" i="1"/>
  <c r="G44" i="1"/>
  <c r="C44" i="1"/>
  <c r="Q43" i="1"/>
  <c r="O43" i="1"/>
  <c r="G43" i="1"/>
  <c r="C43" i="1"/>
  <c r="Q42" i="1"/>
  <c r="O42" i="1"/>
  <c r="G42" i="1"/>
  <c r="E42" i="1"/>
  <c r="C42" i="1"/>
  <c r="Q41" i="1"/>
  <c r="O41" i="1"/>
  <c r="G41" i="1"/>
  <c r="C41" i="1"/>
  <c r="Q40" i="1"/>
  <c r="O40" i="1"/>
  <c r="G40" i="1"/>
  <c r="C40" i="1"/>
  <c r="Q39" i="1"/>
  <c r="O39" i="1"/>
  <c r="G39" i="1"/>
  <c r="C39" i="1"/>
  <c r="Q38" i="1"/>
  <c r="O38" i="1"/>
  <c r="G38" i="1"/>
  <c r="C38" i="1"/>
  <c r="Q37" i="1"/>
  <c r="O37" i="1"/>
  <c r="G37" i="1"/>
  <c r="C37" i="1"/>
  <c r="Q36" i="1"/>
  <c r="O36" i="1"/>
  <c r="G36" i="1"/>
  <c r="C36" i="1"/>
  <c r="Q35" i="1"/>
  <c r="O35" i="1"/>
  <c r="G35" i="1"/>
  <c r="C35" i="1"/>
  <c r="T34" i="1"/>
  <c r="R34" i="1"/>
  <c r="Q34" i="1"/>
  <c r="P34" i="1"/>
  <c r="O34" i="1"/>
  <c r="H34" i="1"/>
  <c r="G34" i="1"/>
  <c r="D34" i="1"/>
  <c r="C34" i="1"/>
  <c r="Q33" i="1"/>
  <c r="O33" i="1"/>
  <c r="G33" i="1"/>
  <c r="C33" i="1"/>
  <c r="Q32" i="1"/>
  <c r="O32" i="1"/>
  <c r="G32" i="1"/>
  <c r="E32" i="1"/>
  <c r="C32" i="1"/>
  <c r="Q31" i="1"/>
  <c r="O31" i="1"/>
  <c r="G31" i="1"/>
  <c r="E31" i="1"/>
  <c r="C31" i="1"/>
  <c r="Q30" i="1"/>
  <c r="O30" i="1"/>
  <c r="M30" i="1"/>
  <c r="K30" i="1"/>
  <c r="I30" i="1"/>
  <c r="G30" i="1"/>
  <c r="C30" i="1"/>
  <c r="Q29" i="1"/>
  <c r="O29" i="1"/>
  <c r="G29" i="1"/>
  <c r="C29" i="1"/>
  <c r="Q28" i="1"/>
  <c r="O28" i="1"/>
  <c r="G28" i="1"/>
  <c r="C28" i="1"/>
  <c r="T27" i="1"/>
  <c r="R27" i="1"/>
  <c r="Q27" i="1"/>
  <c r="P27" i="1"/>
  <c r="O27" i="1"/>
  <c r="H27" i="1"/>
  <c r="G27" i="1"/>
  <c r="D27" i="1"/>
  <c r="C27" i="1"/>
  <c r="Q26" i="1"/>
  <c r="O26" i="1"/>
  <c r="G26" i="1"/>
  <c r="E26" i="1"/>
  <c r="C26" i="1"/>
  <c r="Q25" i="1"/>
  <c r="O25" i="1"/>
  <c r="G25" i="1"/>
  <c r="E25" i="1"/>
  <c r="C25" i="1"/>
  <c r="Q24" i="1"/>
  <c r="O24" i="1"/>
  <c r="G24" i="1"/>
  <c r="E24" i="1"/>
  <c r="C24" i="1"/>
  <c r="R23" i="1"/>
  <c r="Q23" i="1"/>
  <c r="P23" i="1"/>
  <c r="O23" i="1"/>
  <c r="H23" i="1"/>
  <c r="G23" i="1"/>
  <c r="F23" i="1"/>
  <c r="E23" i="1"/>
  <c r="D23" i="1"/>
  <c r="C23" i="1"/>
  <c r="R22" i="1"/>
  <c r="Q22" i="1"/>
  <c r="P22" i="1"/>
  <c r="O22" i="1"/>
  <c r="H22" i="1"/>
  <c r="G22" i="1"/>
  <c r="F22" i="1"/>
  <c r="E22" i="1"/>
  <c r="D22" i="1"/>
  <c r="C22" i="1"/>
  <c r="Q21" i="1"/>
  <c r="O21" i="1"/>
  <c r="G21" i="1"/>
  <c r="E21" i="1"/>
  <c r="C21" i="1"/>
  <c r="R20" i="1"/>
  <c r="Q20" i="1"/>
  <c r="P20" i="1"/>
  <c r="O20" i="1"/>
  <c r="H20" i="1"/>
  <c r="G20" i="1"/>
  <c r="F20" i="1"/>
  <c r="E20" i="1"/>
  <c r="D20" i="1"/>
  <c r="C20" i="1"/>
  <c r="L19" i="1"/>
  <c r="H19" i="1"/>
  <c r="G19" i="1"/>
  <c r="F19" i="1"/>
  <c r="E19" i="1"/>
  <c r="D19" i="1"/>
  <c r="C19" i="1"/>
  <c r="O18" i="1"/>
  <c r="E18" i="1"/>
  <c r="C18" i="1"/>
  <c r="U17" i="1"/>
  <c r="T17" i="1"/>
  <c r="Q17" i="1"/>
  <c r="O17" i="1"/>
  <c r="G17" i="1"/>
  <c r="E17" i="1"/>
  <c r="C17" i="1"/>
  <c r="U16" i="1"/>
  <c r="T16" i="1"/>
  <c r="R16" i="1"/>
  <c r="Q16" i="1"/>
  <c r="P16" i="1"/>
  <c r="O16" i="1"/>
  <c r="L16" i="1"/>
  <c r="H16" i="1"/>
  <c r="G16" i="1"/>
  <c r="F16" i="1"/>
  <c r="E16" i="1"/>
  <c r="D16" i="1"/>
  <c r="C16" i="1"/>
  <c r="O15" i="1"/>
  <c r="C15" i="1"/>
  <c r="O14" i="1"/>
  <c r="C14" i="1"/>
  <c r="Q13" i="1"/>
  <c r="O13" i="1"/>
  <c r="G13" i="1"/>
  <c r="E13" i="1"/>
  <c r="C13" i="1"/>
  <c r="Q12" i="1"/>
  <c r="O12" i="1"/>
  <c r="G12" i="1"/>
  <c r="E12" i="1"/>
  <c r="C12" i="1"/>
  <c r="Q11" i="1"/>
  <c r="O11" i="1"/>
  <c r="G11" i="1"/>
  <c r="E11" i="1"/>
  <c r="C11" i="1"/>
  <c r="Q10" i="1"/>
  <c r="G10" i="1"/>
  <c r="Q9" i="1"/>
  <c r="O9" i="1"/>
  <c r="G9" i="1"/>
  <c r="E9" i="1"/>
  <c r="C9" i="1"/>
  <c r="U8" i="1"/>
  <c r="T8" i="1"/>
  <c r="L8" i="1"/>
  <c r="H8" i="1"/>
  <c r="G8" i="1"/>
  <c r="F8" i="1"/>
  <c r="E8" i="1"/>
  <c r="D8" i="1"/>
  <c r="C8" i="1"/>
  <c r="Q7" i="1"/>
  <c r="O7" i="1"/>
  <c r="G7" i="1"/>
  <c r="E7" i="1"/>
  <c r="C7" i="1"/>
  <c r="R6" i="1"/>
  <c r="Q6" i="1"/>
  <c r="P6" i="1"/>
  <c r="O6" i="1"/>
  <c r="N6" i="1"/>
  <c r="M6" i="1"/>
  <c r="L6" i="1"/>
  <c r="K6" i="1"/>
  <c r="J6" i="1"/>
  <c r="I6" i="1"/>
  <c r="H6" i="1"/>
  <c r="G6" i="1"/>
  <c r="F6" i="1"/>
  <c r="E6" i="1"/>
  <c r="D6" i="1"/>
  <c r="C6" i="1"/>
  <c r="N5" i="1"/>
  <c r="M5" i="1"/>
  <c r="L5" i="1"/>
  <c r="K5" i="1"/>
  <c r="J5" i="1"/>
  <c r="I5" i="1"/>
  <c r="H5" i="1"/>
  <c r="G5" i="1"/>
  <c r="F5" i="1"/>
  <c r="E5" i="1"/>
  <c r="D5" i="1"/>
  <c r="C5" i="1"/>
</calcChain>
</file>

<file path=xl/sharedStrings.xml><?xml version="1.0" encoding="utf-8"?>
<sst xmlns="http://schemas.openxmlformats.org/spreadsheetml/2006/main" count="3490" uniqueCount="879">
  <si>
    <t>S.02.01.02</t>
  </si>
  <si>
    <t>Balance sheet</t>
  </si>
  <si>
    <t>S.02.01.02.01</t>
  </si>
  <si>
    <t>Solvency II value</t>
  </si>
  <si>
    <t>C0010</t>
  </si>
  <si>
    <t>Assets</t>
  </si>
  <si>
    <t>Goodwill</t>
  </si>
  <si>
    <t>R0010</t>
  </si>
  <si>
    <t>Deferred acquisition costs</t>
  </si>
  <si>
    <t>R0020</t>
  </si>
  <si>
    <t>Intangible assets</t>
  </si>
  <si>
    <t>R0030</t>
  </si>
  <si>
    <t>Deferred tax assets</t>
  </si>
  <si>
    <t>R0040</t>
  </si>
  <si>
    <t>Pension benefit surplus</t>
  </si>
  <si>
    <t>R0050</t>
  </si>
  <si>
    <t>Property, plant &amp; equipment held for own use</t>
  </si>
  <si>
    <t>R0060</t>
  </si>
  <si>
    <t>Investments (other than assets held for index-linked and unit-linked contracts)</t>
  </si>
  <si>
    <t>R0070</t>
  </si>
  <si>
    <t>Property (other than for own use)</t>
  </si>
  <si>
    <t>R0080</t>
  </si>
  <si>
    <t>Holdings in related undertakings, including participations</t>
  </si>
  <si>
    <t>R0090</t>
  </si>
  <si>
    <t>Equities</t>
  </si>
  <si>
    <t>R0100</t>
  </si>
  <si>
    <t>Equities - listed</t>
  </si>
  <si>
    <t>R0110</t>
  </si>
  <si>
    <t>Equities - unlisted</t>
  </si>
  <si>
    <t>R0120</t>
  </si>
  <si>
    <t>Bonds</t>
  </si>
  <si>
    <t>R0130</t>
  </si>
  <si>
    <t>Government Bonds</t>
  </si>
  <si>
    <t>R0140</t>
  </si>
  <si>
    <t>Corporate Bonds</t>
  </si>
  <si>
    <t>R0150</t>
  </si>
  <si>
    <t>Structured notes</t>
  </si>
  <si>
    <t>R0160</t>
  </si>
  <si>
    <t>Collateralised securities</t>
  </si>
  <si>
    <t>R0170</t>
  </si>
  <si>
    <t>Collective Investments Undertakings</t>
  </si>
  <si>
    <t>R0180</t>
  </si>
  <si>
    <t>Derivatives</t>
  </si>
  <si>
    <t>R0190</t>
  </si>
  <si>
    <t>Deposits other than cash equivalents</t>
  </si>
  <si>
    <t>R0200</t>
  </si>
  <si>
    <t>Other investments</t>
  </si>
  <si>
    <t>R0210</t>
  </si>
  <si>
    <t>Assets held for index-linked and unit-linked contracts</t>
  </si>
  <si>
    <t>R0220</t>
  </si>
  <si>
    <t>Loans and mortgages</t>
  </si>
  <si>
    <t>R0230</t>
  </si>
  <si>
    <t>Loans on policies</t>
  </si>
  <si>
    <t>R0240</t>
  </si>
  <si>
    <t>Loans and mortgages to individuals</t>
  </si>
  <si>
    <t>R0250</t>
  </si>
  <si>
    <t>Other loans and mortgages</t>
  </si>
  <si>
    <t>R0260</t>
  </si>
  <si>
    <t>Reinsurance recoverables from:</t>
  </si>
  <si>
    <t>R0270</t>
  </si>
  <si>
    <t>Non-life and health similar to non-life</t>
  </si>
  <si>
    <t>R0280</t>
  </si>
  <si>
    <t>Non-life excluding health</t>
  </si>
  <si>
    <t>R0290</t>
  </si>
  <si>
    <t>Health similar to non-life</t>
  </si>
  <si>
    <t>R0300</t>
  </si>
  <si>
    <t>Life and health similar to life, excluding health and index-linked and unit-linked</t>
  </si>
  <si>
    <t>R0310</t>
  </si>
  <si>
    <t>Health similar to life</t>
  </si>
  <si>
    <t>R0320</t>
  </si>
  <si>
    <t>Life excluding health and index-linked and unit-linked</t>
  </si>
  <si>
    <t>R0330</t>
  </si>
  <si>
    <t>Life index-linked and unit-linked</t>
  </si>
  <si>
    <t>R0340</t>
  </si>
  <si>
    <t>Deposits to cedants</t>
  </si>
  <si>
    <t>R0350</t>
  </si>
  <si>
    <t>Insurance and intermediaries receivables</t>
  </si>
  <si>
    <t>R0360</t>
  </si>
  <si>
    <t>Reinsurance receivables</t>
  </si>
  <si>
    <t>R0370</t>
  </si>
  <si>
    <t>Receivables (trade, not insurance)</t>
  </si>
  <si>
    <t>R0380</t>
  </si>
  <si>
    <t>Own shares (held directly)</t>
  </si>
  <si>
    <t>R0390</t>
  </si>
  <si>
    <t>Amounts due in respect of own fund items or initial fund called up but not yet paid in</t>
  </si>
  <si>
    <t>R0400</t>
  </si>
  <si>
    <t>Cash and cash equivalents</t>
  </si>
  <si>
    <t>R0410</t>
  </si>
  <si>
    <t>Any other assets, not elsewhere shown</t>
  </si>
  <si>
    <t>R0420</t>
  </si>
  <si>
    <t>Total assets</t>
  </si>
  <si>
    <t>R0500</t>
  </si>
  <si>
    <t>Liabilities</t>
  </si>
  <si>
    <t>Technical provisions – non-life</t>
  </si>
  <si>
    <t>R0510</t>
  </si>
  <si>
    <t>Technical provisions – non-life (excluding health)</t>
  </si>
  <si>
    <t>R0520</t>
  </si>
  <si>
    <t>Technical provisions calculated as a whole</t>
  </si>
  <si>
    <t>R0530</t>
  </si>
  <si>
    <t>Best Estimate</t>
  </si>
  <si>
    <t>R0540</t>
  </si>
  <si>
    <t>Risk margin</t>
  </si>
  <si>
    <t>R0550</t>
  </si>
  <si>
    <t>Technical provisions - health (similar to non-life)</t>
  </si>
  <si>
    <t>R0560</t>
  </si>
  <si>
    <t>R0570</t>
  </si>
  <si>
    <t>R0580</t>
  </si>
  <si>
    <t>R0590</t>
  </si>
  <si>
    <t>Technical provisions - life (excluding index-linked and unit-linked)</t>
  </si>
  <si>
    <t>R0600</t>
  </si>
  <si>
    <t>Technical provisions - health (similar to life)</t>
  </si>
  <si>
    <t>R0610</t>
  </si>
  <si>
    <t>R0620</t>
  </si>
  <si>
    <t>R0630</t>
  </si>
  <si>
    <t>R0640</t>
  </si>
  <si>
    <t>Technical provisions – life (excluding health and index-linked and unit-linked)</t>
  </si>
  <si>
    <t>R0650</t>
  </si>
  <si>
    <t>R0660</t>
  </si>
  <si>
    <t>R0670</t>
  </si>
  <si>
    <t>R0680</t>
  </si>
  <si>
    <t>Technical provisions – index-linked and unit-linked</t>
  </si>
  <si>
    <t>R0690</t>
  </si>
  <si>
    <t>R0700</t>
  </si>
  <si>
    <t>R0710</t>
  </si>
  <si>
    <t>R0720</t>
  </si>
  <si>
    <t>Other technical provisions</t>
  </si>
  <si>
    <t>R0730</t>
  </si>
  <si>
    <t>Contingent liabilities</t>
  </si>
  <si>
    <t>R0740</t>
  </si>
  <si>
    <t>Provisions other than technical provisions</t>
  </si>
  <si>
    <t>R0750</t>
  </si>
  <si>
    <t>Pension benefit obligations</t>
  </si>
  <si>
    <t>R0760</t>
  </si>
  <si>
    <t>Deposits from reinsurers</t>
  </si>
  <si>
    <t>R0770</t>
  </si>
  <si>
    <t>Deferred tax liabilities</t>
  </si>
  <si>
    <t>R0780</t>
  </si>
  <si>
    <t>R0790</t>
  </si>
  <si>
    <t>Debts owed to credit institutions</t>
  </si>
  <si>
    <t>R0800</t>
  </si>
  <si>
    <t>Financial liabilities other than debts owed to credit institutions</t>
  </si>
  <si>
    <t>R0810</t>
  </si>
  <si>
    <t>Insurance &amp; intermediaries payables</t>
  </si>
  <si>
    <t>R0820</t>
  </si>
  <si>
    <t>Reinsurance payables</t>
  </si>
  <si>
    <t>R0830</t>
  </si>
  <si>
    <t>Payables (trade, not insurance)</t>
  </si>
  <si>
    <t>R0840</t>
  </si>
  <si>
    <t>Subordinated liabilities</t>
  </si>
  <si>
    <t>R0850</t>
  </si>
  <si>
    <t>Subordinated liabilities not in Basic Own Funds</t>
  </si>
  <si>
    <t>R0860</t>
  </si>
  <si>
    <t>Subordinated liabilities in Basic Own Funds</t>
  </si>
  <si>
    <t>R0870</t>
  </si>
  <si>
    <t>Any other liabilities, not elsewhere shown</t>
  </si>
  <si>
    <t>R0880</t>
  </si>
  <si>
    <t>Total liabilities</t>
  </si>
  <si>
    <t>R0900</t>
  </si>
  <si>
    <t>Excess of assets over liabilities</t>
  </si>
  <si>
    <t>R1000</t>
  </si>
  <si>
    <t>S.05.01.02</t>
  </si>
  <si>
    <t>Premiums, claims and expenses by line of business</t>
  </si>
  <si>
    <t>S.05.01.02.01</t>
  </si>
  <si>
    <t>Non-Life (direct business/accepted proportional reinsurance and accepted non-proportional reinsurance)</t>
  </si>
  <si>
    <t>Line of Business for: non-life insurance and reinsurance obligations (direct business and accepted proportional reinsurance)</t>
  </si>
  <si>
    <t>Line of Business for: accepted non-proportional reinsurance</t>
  </si>
  <si>
    <t>Total</t>
  </si>
  <si>
    <t>Medical expense insurance</t>
  </si>
  <si>
    <t>Income protection insurance</t>
  </si>
  <si>
    <t>Workers' compensation insurance</t>
  </si>
  <si>
    <t>Motor vehicle liability insurance</t>
  </si>
  <si>
    <t>Other motor insurance</t>
  </si>
  <si>
    <t>Marine, aviation and transport insurance</t>
  </si>
  <si>
    <t>Fire and other damage to property insurance</t>
  </si>
  <si>
    <t>General liability insurance</t>
  </si>
  <si>
    <t>Credit and suretyship insurance</t>
  </si>
  <si>
    <t>Legal expenses insurance</t>
  </si>
  <si>
    <t>Assistance</t>
  </si>
  <si>
    <t>Miscellaneous financial loss</t>
  </si>
  <si>
    <t>Health</t>
  </si>
  <si>
    <t>Casualty</t>
  </si>
  <si>
    <t>Marine, aviation, transport</t>
  </si>
  <si>
    <t>Property</t>
  </si>
  <si>
    <t>C0020</t>
  </si>
  <si>
    <t>C0030</t>
  </si>
  <si>
    <t>C0040</t>
  </si>
  <si>
    <t>C0050</t>
  </si>
  <si>
    <t>C0060</t>
  </si>
  <si>
    <t>C0070</t>
  </si>
  <si>
    <t>C0080</t>
  </si>
  <si>
    <t>C0090</t>
  </si>
  <si>
    <t>C0100</t>
  </si>
  <si>
    <t>C0110</t>
  </si>
  <si>
    <t>C0120</t>
  </si>
  <si>
    <t>C0130</t>
  </si>
  <si>
    <t>C0140</t>
  </si>
  <si>
    <t>C0150</t>
  </si>
  <si>
    <t>C0160</t>
  </si>
  <si>
    <t>C0200</t>
  </si>
  <si>
    <t>Premiums written</t>
  </si>
  <si>
    <t>Gross - Direct Business</t>
  </si>
  <si>
    <t>Gross - Proportional reinsurance accepted</t>
  </si>
  <si>
    <t>Gross - Non-proportional reinsurance accepted</t>
  </si>
  <si>
    <t>Reinsurers' share</t>
  </si>
  <si>
    <t>Net</t>
  </si>
  <si>
    <t>Premiums earned</t>
  </si>
  <si>
    <t>Claims incurred</t>
  </si>
  <si>
    <t>Changes in other technical provisions</t>
  </si>
  <si>
    <t>R0430</t>
  </si>
  <si>
    <t>R0440</t>
  </si>
  <si>
    <t>Expenses incurred</t>
  </si>
  <si>
    <t>Other expenses</t>
  </si>
  <si>
    <t>R1200</t>
  </si>
  <si>
    <t>Total expenses</t>
  </si>
  <si>
    <t>R1300</t>
  </si>
  <si>
    <t>S.05.01.02.02</t>
  </si>
  <si>
    <t>Life</t>
  </si>
  <si>
    <t>Line of Business for: life insurance obligations</t>
  </si>
  <si>
    <t>Life reinsurance obligations</t>
  </si>
  <si>
    <t>Health insurance</t>
  </si>
  <si>
    <t>Insurance with profit participation</t>
  </si>
  <si>
    <t>Index-linked and unit-linked insurance</t>
  </si>
  <si>
    <t>Other life insurance</t>
  </si>
  <si>
    <t>Annuities stemming from non-life insurance contracts and relating to health insurance obligations</t>
  </si>
  <si>
    <t>Annuities stemming from non-life insurance contracts and relating to insurance obligations other than health insurance obligations</t>
  </si>
  <si>
    <t>Health reinsurance</t>
  </si>
  <si>
    <r>
      <t>Life</t>
    </r>
    <r>
      <rPr>
        <strike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reinsurance</t>
    </r>
  </si>
  <si>
    <t>C0210</t>
  </si>
  <si>
    <t>C0220</t>
  </si>
  <si>
    <t>C0230</t>
  </si>
  <si>
    <t>C0240</t>
  </si>
  <si>
    <t>C0250</t>
  </si>
  <si>
    <t>C0260</t>
  </si>
  <si>
    <t>C0270</t>
  </si>
  <si>
    <t>C0280</t>
  </si>
  <si>
    <t>C0300</t>
  </si>
  <si>
    <t>Gross</t>
  </si>
  <si>
    <t>R1410</t>
  </si>
  <si>
    <t>R1420</t>
  </si>
  <si>
    <t>R1500</t>
  </si>
  <si>
    <t>R1510</t>
  </si>
  <si>
    <t>R1520</t>
  </si>
  <si>
    <t>R1600</t>
  </si>
  <si>
    <t>R1610</t>
  </si>
  <si>
    <t>R1620</t>
  </si>
  <si>
    <t>R1700</t>
  </si>
  <si>
    <t>R1710</t>
  </si>
  <si>
    <t>R1720</t>
  </si>
  <si>
    <t>R1800</t>
  </si>
  <si>
    <t>R1900</t>
  </si>
  <si>
    <t>R2500</t>
  </si>
  <si>
    <t>R2600</t>
  </si>
  <si>
    <t>S.05.02.01</t>
  </si>
  <si>
    <t>Premiums, claims and expenses by country</t>
  </si>
  <si>
    <t>S.05.02.01.01</t>
  </si>
  <si>
    <t>S.05.02.01.02</t>
  </si>
  <si>
    <t>S.05.02.01.03</t>
  </si>
  <si>
    <t>Home Country - non-life obligations</t>
  </si>
  <si>
    <t>Top 5 countries (by amount of gross premiums written) - non-life obligations</t>
  </si>
  <si>
    <t>Total Top 5 and home country - non-life obligations</t>
  </si>
  <si>
    <t>Home country</t>
  </si>
  <si>
    <t>FINLAND</t>
  </si>
  <si>
    <t>NORWAY</t>
  </si>
  <si>
    <t>DENMARK</t>
  </si>
  <si>
    <t>GERMANY</t>
  </si>
  <si>
    <t>FRANCE</t>
  </si>
  <si>
    <t>Total Top 5 and home country</t>
  </si>
  <si>
    <t>S.05.02.01.04</t>
  </si>
  <si>
    <t>S.05.02.01.05</t>
  </si>
  <si>
    <t>S.05.02.01.06</t>
  </si>
  <si>
    <t>Home Country - life obligations</t>
  </si>
  <si>
    <t>Top 5 countries (by amount of gross premiums written) - life obligations</t>
  </si>
  <si>
    <t>Total Top 5 and home country - life obligations</t>
  </si>
  <si>
    <t>S.12.01.02</t>
  </si>
  <si>
    <t>Life and Health SLT Technical Provisions</t>
  </si>
  <si>
    <t>S.12.01.02.01</t>
  </si>
  <si>
    <t>Annuities stemming from non-life insurance contracts and relating to insurance obligation other than health insurance obligations</t>
  </si>
  <si>
    <t>Accepted reinsurance</t>
  </si>
  <si>
    <t>Total (Life other than health insurance, incl. Unit-Linked)</t>
  </si>
  <si>
    <t>Health insurance (direct business)</t>
  </si>
  <si>
    <t>Health reinsurance (reinsurance accepted)</t>
  </si>
  <si>
    <t>Total (Health similar to life insurance)</t>
  </si>
  <si>
    <t>Contracts without options and guarantees</t>
  </si>
  <si>
    <t>Contracts with options or guarantees</t>
  </si>
  <si>
    <t>C0170</t>
  </si>
  <si>
    <t>C0180</t>
  </si>
  <si>
    <t>C0190</t>
  </si>
  <si>
    <t/>
  </si>
  <si>
    <t>Total Recoverables from reinsurance/SPV and Finite Re after the adjustment for expected losses due to counterparty default associated to TP calculated as a whole</t>
  </si>
  <si>
    <t>Technical provisions calculated as a sum of BE and RM</t>
  </si>
  <si>
    <t>Gross Best Estimate</t>
  </si>
  <si>
    <t>Total Recoverables from reinsurance/SPV and Finite Re after the adjustment for expected losses due to counterparty default</t>
  </si>
  <si>
    <t>Best estimate minus recoverables from reinsurance/SPV and Finite Re - total</t>
  </si>
  <si>
    <t>Risk Margin</t>
  </si>
  <si>
    <t>Amount of the transitional on Technical Provisions</t>
  </si>
  <si>
    <t>Technical Provisions calculated as a whole</t>
  </si>
  <si>
    <t>Best estimate</t>
  </si>
  <si>
    <t>Technical provisions - total</t>
  </si>
  <si>
    <t>S.17.01.02</t>
  </si>
  <si>
    <t>Non-Life Technical Provisions</t>
  </si>
  <si>
    <t>S.17.01.02.01</t>
  </si>
  <si>
    <t>Direct business and accepted proportional reinsurance</t>
  </si>
  <si>
    <t>Accepted non-proportional reinsurance</t>
  </si>
  <si>
    <t>Total Non-Life obligation</t>
  </si>
  <si>
    <r>
      <t xml:space="preserve">Income protection </t>
    </r>
    <r>
      <rPr>
        <sz val="11"/>
        <rFont val="Calibri"/>
        <family val="2"/>
        <charset val="238"/>
        <scheme val="minor"/>
      </rPr>
      <t>insurance</t>
    </r>
  </si>
  <si>
    <t>Non-proportional health reinsurance</t>
  </si>
  <si>
    <t>Non-proportional casualty reinsurance</t>
  </si>
  <si>
    <t>Non-proportional marine, aviation and transport reinsurance</t>
  </si>
  <si>
    <t>Non-proportional property reinsurance</t>
  </si>
  <si>
    <t>Premium provisions</t>
  </si>
  <si>
    <t>Total recoverable from reinsurance/SPV and Finite Re after the adjustment for expected losses due to counterparty default</t>
  </si>
  <si>
    <t>Net Best Estimate of Premium Provisions</t>
  </si>
  <si>
    <t>Claims provisions</t>
  </si>
  <si>
    <t>Net Best Estimate of Claims Provisions</t>
  </si>
  <si>
    <t>Total Best estimate - gross</t>
  </si>
  <si>
    <t>Total Best estimate - net</t>
  </si>
  <si>
    <t>Recoverable from reinsurance contract/SPV and Finite Re after the adjustment for expected losses due to counterparty default - total</t>
  </si>
  <si>
    <t>Technical provisions minus recoverables from reinsurance/SPV and Finite Re - total</t>
  </si>
  <si>
    <t>Entry point acronim:</t>
  </si>
  <si>
    <t>ars</t>
  </si>
  <si>
    <t>qrs</t>
  </si>
  <si>
    <t>arg</t>
  </si>
  <si>
    <t>qrg</t>
  </si>
  <si>
    <t>arb</t>
  </si>
  <si>
    <t>qrb</t>
  </si>
  <si>
    <t>afs</t>
  </si>
  <si>
    <t>qfs</t>
  </si>
  <si>
    <t>afg</t>
  </si>
  <si>
    <t>qfg</t>
  </si>
  <si>
    <t>afb</t>
  </si>
  <si>
    <t>qfb</t>
  </si>
  <si>
    <t>aes</t>
  </si>
  <si>
    <t>qes</t>
  </si>
  <si>
    <t>aeb</t>
  </si>
  <si>
    <t>qeb</t>
  </si>
  <si>
    <t>spv</t>
  </si>
  <si>
    <t>aps</t>
  </si>
  <si>
    <t>apg</t>
  </si>
  <si>
    <t>tep</t>
  </si>
  <si>
    <t>Entry point code:</t>
  </si>
  <si>
    <t>.01</t>
  </si>
  <si>
    <t>.02</t>
  </si>
  <si>
    <t>.04</t>
  </si>
  <si>
    <t>.05</t>
  </si>
  <si>
    <t>.07</t>
  </si>
  <si>
    <t>.08</t>
  </si>
  <si>
    <t>.10</t>
  </si>
  <si>
    <t>.11</t>
  </si>
  <si>
    <t>.12</t>
  </si>
  <si>
    <t>.13</t>
  </si>
  <si>
    <t>.14</t>
  </si>
  <si>
    <t>.15</t>
  </si>
  <si>
    <t>.16</t>
  </si>
  <si>
    <t>.17</t>
  </si>
  <si>
    <t>.18</t>
  </si>
  <si>
    <t>.19</t>
  </si>
  <si>
    <t>.20</t>
  </si>
  <si>
    <t>.21</t>
  </si>
  <si>
    <t>.22</t>
  </si>
  <si>
    <t>.23</t>
  </si>
  <si>
    <t>Annual Solvency II reporting Solo</t>
  </si>
  <si>
    <t>Quarterly Solvency II reporting Solo</t>
  </si>
  <si>
    <t>Annual Solvency II reporting Group</t>
  </si>
  <si>
    <t>Quarterly Solvency II reporting Group</t>
  </si>
  <si>
    <t>Annual Solvency II reporting Third country branches</t>
  </si>
  <si>
    <t>Quarterly Solvency II reporting Third country branches</t>
  </si>
  <si>
    <t>Annual Financial Stability reporting Solo</t>
  </si>
  <si>
    <t>Quarterly Financial Stability reporting Solo</t>
  </si>
  <si>
    <t>Annual Financial Stability reporting Group</t>
  </si>
  <si>
    <t>Quarterly Financial Stability reporting Group</t>
  </si>
  <si>
    <t>Annual Financial Stability Third country branches</t>
  </si>
  <si>
    <t>Quarterly Financial Stability Third country branches</t>
  </si>
  <si>
    <t>Annual ECB reporting Solo</t>
  </si>
  <si>
    <t>Quarterly ECB reporting Solo</t>
  </si>
  <si>
    <t>Annual ECB reporting Third country branches</t>
  </si>
  <si>
    <t>Quarterly ECB reporting Third country branches</t>
  </si>
  <si>
    <t>Annual reporting Special Purpose Vehicles</t>
  </si>
  <si>
    <t>Annual Solvency II public disclosure Group</t>
  </si>
  <si>
    <t>Technical entry point</t>
  </si>
  <si>
    <t>Template code</t>
  </si>
  <si>
    <t>Template title</t>
  </si>
  <si>
    <t>b+l</t>
  </si>
  <si>
    <t>a</t>
  </si>
  <si>
    <t>g+n</t>
  </si>
  <si>
    <t>f</t>
  </si>
  <si>
    <t>p+r</t>
  </si>
  <si>
    <t>o</t>
  </si>
  <si>
    <t>d</t>
  </si>
  <si>
    <t>c</t>
  </si>
  <si>
    <t>i</t>
  </si>
  <si>
    <t>h</t>
  </si>
  <si>
    <t>x</t>
  </si>
  <si>
    <t>v</t>
  </si>
  <si>
    <r>
      <t>b+l</t>
    </r>
    <r>
      <rPr>
        <i/>
        <sz val="11"/>
        <color theme="1"/>
        <rFont val="Calibri"/>
        <family val="2"/>
        <charset val="238"/>
        <scheme val="minor"/>
      </rPr>
      <t xml:space="preserve"> (including ECB add-on)</t>
    </r>
  </si>
  <si>
    <r>
      <t>a</t>
    </r>
    <r>
      <rPr>
        <i/>
        <sz val="11"/>
        <color theme="1"/>
        <rFont val="Calibri"/>
        <family val="2"/>
        <charset val="238"/>
        <scheme val="minor"/>
      </rPr>
      <t xml:space="preserve"> (including ECB add-on)</t>
    </r>
  </si>
  <si>
    <r>
      <t xml:space="preserve">p+r </t>
    </r>
    <r>
      <rPr>
        <i/>
        <sz val="11"/>
        <color theme="1"/>
        <rFont val="Calibri"/>
        <family val="2"/>
        <charset val="238"/>
        <scheme val="minor"/>
      </rPr>
      <t>(including ECB add-on)</t>
    </r>
  </si>
  <si>
    <r>
      <t>o</t>
    </r>
    <r>
      <rPr>
        <i/>
        <sz val="11"/>
        <color theme="1"/>
        <rFont val="Calibri"/>
        <family val="2"/>
        <charset val="238"/>
        <scheme val="minor"/>
      </rPr>
      <t xml:space="preserve"> (including ECB add-on)</t>
    </r>
  </si>
  <si>
    <t>Annual Solvency II public disclosure Solo</t>
  </si>
  <si>
    <t>adh</t>
  </si>
  <si>
    <t>S.01.01</t>
  </si>
  <si>
    <t>Content of the submission</t>
  </si>
  <si>
    <t>X</t>
  </si>
  <si>
    <t>S.01.01.01; S.01.01.02; S.01.01.04; S.01.01.05; S.01.01.07; S.01.01.08; S.01.01.10; S.01.01.11; S.01.01.12; S.01.01.13; S.01.01.14; S.01.01.15</t>
  </si>
  <si>
    <t>S.01.02</t>
  </si>
  <si>
    <t>Basic Information - General</t>
  </si>
  <si>
    <t>S.01.02.01; S.01.02.04; S.01.02.07</t>
  </si>
  <si>
    <t>S.01.03</t>
  </si>
  <si>
    <t>Basic Information - RFF and matching adjustment portfolios</t>
  </si>
  <si>
    <t>S.01.03.01; S.01.03.04</t>
  </si>
  <si>
    <t>S.02.01</t>
  </si>
  <si>
    <t>S.02.01.01; S.02.01.02; S.02.01.07; S.02.01.08</t>
  </si>
  <si>
    <t>S.02.02</t>
  </si>
  <si>
    <t>Assets and liabilities by currency</t>
  </si>
  <si>
    <t>S.02.02.01</t>
  </si>
  <si>
    <t>S.02.03</t>
  </si>
  <si>
    <t>Additional branch balance sheet information</t>
  </si>
  <si>
    <t>S.02.03.07</t>
  </si>
  <si>
    <t>S.03.01</t>
  </si>
  <si>
    <t>Off-balance sheet items - general</t>
  </si>
  <si>
    <t>S.03.01.01; S.03.01.04</t>
  </si>
  <si>
    <t>S.03.02</t>
  </si>
  <si>
    <t>Off-balance sheet items - List of unlimited guarantees received by the undertaking</t>
  </si>
  <si>
    <t>S.03.02.01; S.03.02.04</t>
  </si>
  <si>
    <t>S.03.03</t>
  </si>
  <si>
    <t>Off-balance sheet items - List of unlimited guarantees provided by the undertaking</t>
  </si>
  <si>
    <t>S.03.03.01; S.03.03.04</t>
  </si>
  <si>
    <t>S.04.01</t>
  </si>
  <si>
    <t>Activity by country</t>
  </si>
  <si>
    <t>S.04.01.01</t>
  </si>
  <si>
    <t>S.04.02</t>
  </si>
  <si>
    <t>Information on class 10 in Part A of Annex I of Solvency II Directive, excluding carrier's liability</t>
  </si>
  <si>
    <t>S.04.02.01</t>
  </si>
  <si>
    <t>S.05.01</t>
  </si>
  <si>
    <t>S.05.01.01; S.05.01.02; S.05.01.13</t>
  </si>
  <si>
    <t>S.05.02</t>
  </si>
  <si>
    <t>S.06.01</t>
  </si>
  <si>
    <t>Summary of assets</t>
  </si>
  <si>
    <t>S.06.01.01</t>
  </si>
  <si>
    <t>S.06.02</t>
  </si>
  <si>
    <t>List of assets</t>
  </si>
  <si>
    <t>S.06.02.01; S.06.02.04; S.06.02.07</t>
  </si>
  <si>
    <t>S.06.03</t>
  </si>
  <si>
    <t>Collective investment undertakings - look-through approach</t>
  </si>
  <si>
    <t>S.06.03.01; S.06.03.04</t>
  </si>
  <si>
    <t>S.07.01</t>
  </si>
  <si>
    <t>Structured products</t>
  </si>
  <si>
    <t>S.07.01.01; S.07.01.04</t>
  </si>
  <si>
    <t>S.08.01</t>
  </si>
  <si>
    <t>Open derivatives</t>
  </si>
  <si>
    <t>S.08.01.01; S.08.01.04</t>
  </si>
  <si>
    <t>S.08.02</t>
  </si>
  <si>
    <t>Derivatives Transactions</t>
  </si>
  <si>
    <t>S.08.02.01; S.08.02.04</t>
  </si>
  <si>
    <t>S.09.01</t>
  </si>
  <si>
    <t>Income/gains and losses in the period</t>
  </si>
  <si>
    <t>S.09.01.01; S.09.01.04</t>
  </si>
  <si>
    <t>S.10.01</t>
  </si>
  <si>
    <t>Securities lending and repos</t>
  </si>
  <si>
    <t>S.10.01.01; S.10.01.04</t>
  </si>
  <si>
    <t>S.11.01</t>
  </si>
  <si>
    <t>Assets held as collateral</t>
  </si>
  <si>
    <t>S.11.01.01; S.11.01.04</t>
  </si>
  <si>
    <t>S.12.01</t>
  </si>
  <si>
    <t>S.12.01.01; S.12.01.02</t>
  </si>
  <si>
    <t>S.12.02</t>
  </si>
  <si>
    <t>Life and Health SLT Technical Provisions - by country</t>
  </si>
  <si>
    <t>S.12.02.01</t>
  </si>
  <si>
    <t>S.13.01</t>
  </si>
  <si>
    <t>Projection of future gross cash flows</t>
  </si>
  <si>
    <t>S.13.01.01</t>
  </si>
  <si>
    <t>S.14.01</t>
  </si>
  <si>
    <t>Life obligations analysis</t>
  </si>
  <si>
    <t>S.14.01.01; S.14.01.10</t>
  </si>
  <si>
    <t>S.15.01</t>
  </si>
  <si>
    <t>Description of the guarantees of variable annuities</t>
  </si>
  <si>
    <t>S.15.01.01; S.15.01.04</t>
  </si>
  <si>
    <t>S.15.02</t>
  </si>
  <si>
    <t>Hedging of guarantees of variable annuities</t>
  </si>
  <si>
    <t>S.15.02.01; S.15.02.04</t>
  </si>
  <si>
    <t>S.16.01</t>
  </si>
  <si>
    <t>Information on annuities stemming from Non-Life Insurance obligations</t>
  </si>
  <si>
    <t>S.16.01.01</t>
  </si>
  <si>
    <t>S.17.01</t>
  </si>
  <si>
    <t>S.17.01.01; S.17.01.02</t>
  </si>
  <si>
    <t>S.17.02</t>
  </si>
  <si>
    <t>Non-Life Technical Provisions - By country</t>
  </si>
  <si>
    <t>S.17.02.01</t>
  </si>
  <si>
    <t>S.18.01</t>
  </si>
  <si>
    <t>Projection of future cash flows (Best Estimate - Non Life)</t>
  </si>
  <si>
    <t>S.18.01.01</t>
  </si>
  <si>
    <t>S.19.01</t>
  </si>
  <si>
    <t>Non-life insurance claims</t>
  </si>
  <si>
    <t>S.19.01.21</t>
  </si>
  <si>
    <t>S.19.01.01; S.19.01.21</t>
  </si>
  <si>
    <t>S.20.01</t>
  </si>
  <si>
    <t>Development of the distribution of the claims incurred</t>
  </si>
  <si>
    <t>S.20.01.01</t>
  </si>
  <si>
    <t>S.21.01</t>
  </si>
  <si>
    <t>Loss distribution risk profile</t>
  </si>
  <si>
    <t>S.21.01.01</t>
  </si>
  <si>
    <t>S.21.02</t>
  </si>
  <si>
    <t>Underwriting risks non-life</t>
  </si>
  <si>
    <t>S.21.02.01</t>
  </si>
  <si>
    <t>S.21.03</t>
  </si>
  <si>
    <t>Non-life distribution of underwriting risks - by sum insured</t>
  </si>
  <si>
    <t>S.21.03.01</t>
  </si>
  <si>
    <t>S.22.01</t>
  </si>
  <si>
    <t>Impact of long term guarantees measures and transitionals</t>
  </si>
  <si>
    <t>S.22.01.21</t>
  </si>
  <si>
    <t>S.22.01.22</t>
  </si>
  <si>
    <t>S.22.01.01; S.22.01.04; S.22.01.21; S.22.01.22</t>
  </si>
  <si>
    <t>S.22.04</t>
  </si>
  <si>
    <t>Information on the transitional on interest rates calculation</t>
  </si>
  <si>
    <t>S.22.04.01</t>
  </si>
  <si>
    <t>S.22.05</t>
  </si>
  <si>
    <t>Overall calculation of the transitional on technical provisions</t>
  </si>
  <si>
    <t>S.22.05.01</t>
  </si>
  <si>
    <t>S.22.06</t>
  </si>
  <si>
    <t>Best estimate subject to volatility adjustment by country and currency</t>
  </si>
  <si>
    <t>S.22.06.01</t>
  </si>
  <si>
    <t>S.23.01</t>
  </si>
  <si>
    <t>Own funds</t>
  </si>
  <si>
    <t>S.23.01.22</t>
  </si>
  <si>
    <t>S.23.01.01; S.23.01.04; S.23.01.07; S.23.01.13; S.23.01.22</t>
  </si>
  <si>
    <t>S.23.02</t>
  </si>
  <si>
    <t>Detailed information by tiers on own funds</t>
  </si>
  <si>
    <t>S.23.02.01; S.23.02.04</t>
  </si>
  <si>
    <t>S.23.03</t>
  </si>
  <si>
    <t>Annual movements on own funds</t>
  </si>
  <si>
    <t>S.23.03.01; S.23.03.04; S.23.03.07</t>
  </si>
  <si>
    <t>S.23.04</t>
  </si>
  <si>
    <t>List of items on own funds</t>
  </si>
  <si>
    <t>S.23.04.01; S.23.04.04</t>
  </si>
  <si>
    <t>S.24.01</t>
  </si>
  <si>
    <t>Participations held</t>
  </si>
  <si>
    <t>S.24.01.01</t>
  </si>
  <si>
    <t>S.25.01</t>
  </si>
  <si>
    <t>Solvency Capital Requirement - for undertakings on Standard Formula</t>
  </si>
  <si>
    <t>S.25.01.21</t>
  </si>
  <si>
    <t>S.25.01.22</t>
  </si>
  <si>
    <t>S.25.01.01; S.25.01.04; S.25.01.21; S.25.01.22</t>
  </si>
  <si>
    <t>S.25.02</t>
  </si>
  <si>
    <t>Solvency Capital Requirement - for undertakings using the standard formula and partial internal model</t>
  </si>
  <si>
    <t>S.25.02.21</t>
  </si>
  <si>
    <t>S.25.02.22</t>
  </si>
  <si>
    <t>S.25.02.01; S.25.02.04; S.25.02.21; S.25.02.22</t>
  </si>
  <si>
    <t>S.25.03</t>
  </si>
  <si>
    <t>Solvency Capital Requirement - for undertakings on Full Internal Models</t>
  </si>
  <si>
    <t>S.25.03.21</t>
  </si>
  <si>
    <t>S.25.03.22</t>
  </si>
  <si>
    <t>S.25.03.01; S.25.03.04; S.25.03.21; S.25.03.22</t>
  </si>
  <si>
    <t>S.25.04</t>
  </si>
  <si>
    <t>Solvency Capital Requirement [Financial Stability]</t>
  </si>
  <si>
    <t>S.25.04.11; S.25.04.13</t>
  </si>
  <si>
    <t>S.26.01</t>
  </si>
  <si>
    <t>Solvency Capital Requirement - Market risk</t>
  </si>
  <si>
    <t>S.26.01.01; S.26.01.04</t>
  </si>
  <si>
    <t>S.26.02</t>
  </si>
  <si>
    <t>Solvency Capital Requirement - Counterparty default risk</t>
  </si>
  <si>
    <t>S.26.02.01; S.26.02.04</t>
  </si>
  <si>
    <t>S.26.03</t>
  </si>
  <si>
    <t>Solvency Capital Requirement - Life underwriting risk</t>
  </si>
  <si>
    <t>S.26.03.01; S.26.03.04</t>
  </si>
  <si>
    <t>S.26.04</t>
  </si>
  <si>
    <t>Solvency Capital Requirement - Health underwriting risk</t>
  </si>
  <si>
    <t>S.26.04.01; S.26.04.04</t>
  </si>
  <si>
    <t>S.26.05</t>
  </si>
  <si>
    <t>Solvency Capital Requirement - Non-Life underwriting risk</t>
  </si>
  <si>
    <t>S.26.05.01; S.26.05.04</t>
  </si>
  <si>
    <t>S.26.06</t>
  </si>
  <si>
    <t>Solvency Capital Requirement - Operational risk</t>
  </si>
  <si>
    <t>S.26.06.01; S.26.06.04</t>
  </si>
  <si>
    <t>S.26.07</t>
  </si>
  <si>
    <t>Solvency Capital Requirement - Simplifications</t>
  </si>
  <si>
    <t>S.26.07.01; S.26.07.04</t>
  </si>
  <si>
    <t>S.27.01</t>
  </si>
  <si>
    <t>Solvency Capital Requirement - Non-life and Health catastrophe risk</t>
  </si>
  <si>
    <t>S.27.01.01; S.27.01.04</t>
  </si>
  <si>
    <t>S.28.01</t>
  </si>
  <si>
    <t>Minimum Capital Requirement - Only life or only non-life insurance or reinsurance activity</t>
  </si>
  <si>
    <t>S.28.01.01</t>
  </si>
  <si>
    <t>S.28.02</t>
  </si>
  <si>
    <t>Minimum Capital Requirement - Both life and non-life insurance activity</t>
  </si>
  <si>
    <t>S.28.02.01</t>
  </si>
  <si>
    <t>S.29.01</t>
  </si>
  <si>
    <t>Excess of Assets over Liabilities</t>
  </si>
  <si>
    <t>S.29.01.01; S.29.01.07</t>
  </si>
  <si>
    <t>S.29.02</t>
  </si>
  <si>
    <t>Excess of Assets over Liabilities - explained by investments and financial liabilities</t>
  </si>
  <si>
    <t>S.29.02.01</t>
  </si>
  <si>
    <t>S.29.03</t>
  </si>
  <si>
    <t>Excess of Assets over Liabilities - explained by technical provisions</t>
  </si>
  <si>
    <t>S.29.03.01</t>
  </si>
  <si>
    <t>S.29.04</t>
  </si>
  <si>
    <t>Detailed analysis per period - Technical flows versus Technical provisions</t>
  </si>
  <si>
    <t>S.29.04.01</t>
  </si>
  <si>
    <t>S.30.01</t>
  </si>
  <si>
    <t>Facultative covers for non-life and life business basic data</t>
  </si>
  <si>
    <t>S.30.01.01</t>
  </si>
  <si>
    <t>S.30.02</t>
  </si>
  <si>
    <t>Facultative covers for non-life and life business shares data</t>
  </si>
  <si>
    <t>S.30.02.01</t>
  </si>
  <si>
    <t>S.30.03</t>
  </si>
  <si>
    <t>Outgoing Reinsurance Program basic data</t>
  </si>
  <si>
    <t>S.30.03.01</t>
  </si>
  <si>
    <t>S.30.04</t>
  </si>
  <si>
    <t>Outgoing Reinsurance Program shares data</t>
  </si>
  <si>
    <t>S.30.04.01</t>
  </si>
  <si>
    <t>S.31.01</t>
  </si>
  <si>
    <t>Share of reinsurers [including Finite Reinsurance and SPV's]</t>
  </si>
  <si>
    <t>S.31.01.01; S.31.01.04</t>
  </si>
  <si>
    <t>S.31.02</t>
  </si>
  <si>
    <t>Information on Special Purpose Vehicles</t>
  </si>
  <si>
    <t>S.31.02.01; S.31.02.04</t>
  </si>
  <si>
    <t>S.32.01</t>
  </si>
  <si>
    <t>Undertakings in the scope of the group</t>
  </si>
  <si>
    <t>S.32.01.22</t>
  </si>
  <si>
    <t>S.32.01.04; S.32.01.22</t>
  </si>
  <si>
    <t>S.33.01</t>
  </si>
  <si>
    <t>Insurance and Reinsurance individual requirements</t>
  </si>
  <si>
    <t>S.33.01.04</t>
  </si>
  <si>
    <t>S.34.01</t>
  </si>
  <si>
    <t>Other regulated and non-regulated financial undertakings including insurance holding companies and mixed financial holding company individual requirements</t>
  </si>
  <si>
    <t>S.34.01.04</t>
  </si>
  <si>
    <t>S.35.01</t>
  </si>
  <si>
    <t>Contribution to group Technical Provisions</t>
  </si>
  <si>
    <t>S.35.01.04</t>
  </si>
  <si>
    <t>S.36.01</t>
  </si>
  <si>
    <t>IGT - Equity-type transactions, debt and asset transfer</t>
  </si>
  <si>
    <t>S.36.01.01</t>
  </si>
  <si>
    <t>S.36.02</t>
  </si>
  <si>
    <t>IGT - Derivatives</t>
  </si>
  <si>
    <t>S.36.02.01</t>
  </si>
  <si>
    <t>S.36.03</t>
  </si>
  <si>
    <t>IGT - Internal reinsurance</t>
  </si>
  <si>
    <t>S.36.03.01</t>
  </si>
  <si>
    <t>S.36.04</t>
  </si>
  <si>
    <t>IGT - Cost Sharing, contingent liabilities, off BS and other items</t>
  </si>
  <si>
    <t>S.36.04.01</t>
  </si>
  <si>
    <t>S.37.01</t>
  </si>
  <si>
    <t>Risk concentration</t>
  </si>
  <si>
    <t>S.37.01.04</t>
  </si>
  <si>
    <t>S.38.01</t>
  </si>
  <si>
    <t>Duration of technical provisions</t>
  </si>
  <si>
    <t>S.38.01.10</t>
  </si>
  <si>
    <t>S.39.01</t>
  </si>
  <si>
    <t>Profit and Loss</t>
  </si>
  <si>
    <t>S.39.01.11</t>
  </si>
  <si>
    <t>S.40.01</t>
  </si>
  <si>
    <t>Profit or Loss sharing</t>
  </si>
  <si>
    <t>S.40.01.10</t>
  </si>
  <si>
    <t>S.41.01</t>
  </si>
  <si>
    <t>Lapses</t>
  </si>
  <si>
    <t>S.41.01.11</t>
  </si>
  <si>
    <t>SR.01.01</t>
  </si>
  <si>
    <t>Content of the submission [RFF/MP/RM]</t>
  </si>
  <si>
    <t>SR.01.01.01; SR.01.01.04; SR.01.01.07</t>
  </si>
  <si>
    <t>SR.02.01</t>
  </si>
  <si>
    <t>Balance sheet [RFF/MP/RM]</t>
  </si>
  <si>
    <t>SR.02.01.01; SR.02.01.07</t>
  </si>
  <si>
    <t>SR.12.01</t>
  </si>
  <si>
    <t>Life and Health SLT Technical Provisions [RFF/MP/RM]</t>
  </si>
  <si>
    <t>SR.12.01.01</t>
  </si>
  <si>
    <t>SR.17.01</t>
  </si>
  <si>
    <t>Non-Life Technical Provisions [RFF/MP/RM]</t>
  </si>
  <si>
    <t>SR.17.01.01</t>
  </si>
  <si>
    <t>SR.22.02</t>
  </si>
  <si>
    <t>Projection of future cash flows (Best Estimate - Matching portfolios) [RFF/MP/RM]</t>
  </si>
  <si>
    <t>SR.22.02.01</t>
  </si>
  <si>
    <t>SR.22.03</t>
  </si>
  <si>
    <t>Information on the matching adjustment calculation [RFF/MP/RM]</t>
  </si>
  <si>
    <t>SR.22.03.01</t>
  </si>
  <si>
    <t>SR.25.01</t>
  </si>
  <si>
    <t>Solvency Capital Requirement - for undertakings on Standard Formula [RFF/MP/RM]</t>
  </si>
  <si>
    <t>SR.25.01.01</t>
  </si>
  <si>
    <t>SR.25.02</t>
  </si>
  <si>
    <t>Solvency Capital Requirement - for undertakings using the standard formula and partial internal model [RFF/MP/RM]</t>
  </si>
  <si>
    <t>SR.25.02.01</t>
  </si>
  <si>
    <t>SR.25.03</t>
  </si>
  <si>
    <t>Solvency Capital Requirement - for undertakings on Full Internal Models [RFF/MP/RM]</t>
  </si>
  <si>
    <t>SR.25.03.01</t>
  </si>
  <si>
    <t>SR.26.01</t>
  </si>
  <si>
    <t>Solvency Capital Requirement - Market risk [RFF/MP/RM]</t>
  </si>
  <si>
    <t>SR.26.01.01</t>
  </si>
  <si>
    <t>SR.26.02</t>
  </si>
  <si>
    <t>Solvency Capital Requirement - Counterparty default risk [RFF/MP/RM]</t>
  </si>
  <si>
    <t>SR.26.02.01</t>
  </si>
  <si>
    <t>SR.26.03</t>
  </si>
  <si>
    <t>Solvency Capital Requirement - Life underwriting risk [RFF/MP/RM]</t>
  </si>
  <si>
    <t>SR.26.03.01</t>
  </si>
  <si>
    <t>SR.26.04</t>
  </si>
  <si>
    <t>Solvency Capital Requirement - Health underwriting risk [RFF/MP/RM]</t>
  </si>
  <si>
    <t>SR.26.04.01</t>
  </si>
  <si>
    <t>SR.26.05</t>
  </si>
  <si>
    <t>Solvency Capital Requirement - Non-Life underwriting risk [RFF/MP/RM]</t>
  </si>
  <si>
    <t>SR.26.05.01</t>
  </si>
  <si>
    <t>SR.26.06</t>
  </si>
  <si>
    <t>Solvency Capital Requirement - Operational risk [RFF/MP/RM]</t>
  </si>
  <si>
    <t>SR.26.06.01</t>
  </si>
  <si>
    <t>SR.26.07</t>
  </si>
  <si>
    <t>Solvency Capital Requirement - Simplifications [RFF/MP/RM]</t>
  </si>
  <si>
    <t>SR.26.07.01</t>
  </si>
  <si>
    <t>SR.27.01</t>
  </si>
  <si>
    <t>Solvency Capital Requirement - Non-life and Health catastrophe risk [RFF/MP/RM]</t>
  </si>
  <si>
    <t>SR.27.01.01</t>
  </si>
  <si>
    <t>SE.01.01</t>
  </si>
  <si>
    <t>Content of the submission [ECB add-on]</t>
  </si>
  <si>
    <t>SE.01.01.16; SE.01.01.17; SE.01.01.18; SE.01.01.19</t>
  </si>
  <si>
    <t>SE.02.01</t>
  </si>
  <si>
    <t>Balance sheet [ECB add-on]</t>
  </si>
  <si>
    <t>SE.02.01.16; SE.02.01.17; SE.02.01.18; SE.02.01.19</t>
  </si>
  <si>
    <t>SE.06.02</t>
  </si>
  <si>
    <t>List of assets [ECB add-on]</t>
  </si>
  <si>
    <t>SE.06.02.16; SE.06.02.18</t>
  </si>
  <si>
    <t>E.01.01</t>
  </si>
  <si>
    <t>Deposits to cedants - line-by-line reporting [ECB add-on]</t>
  </si>
  <si>
    <t>E.01.01.16</t>
  </si>
  <si>
    <t>E.02.01</t>
  </si>
  <si>
    <t>Pension entitlements [ECB add-on]</t>
  </si>
  <si>
    <t>E.02.01.16</t>
  </si>
  <si>
    <t>E.03.01</t>
  </si>
  <si>
    <t>Non-life Technical Provisions - reinsurance policies - Geographical zone [ECB add-on]</t>
  </si>
  <si>
    <t>E.03.01.16</t>
  </si>
  <si>
    <t>SPV.01.01</t>
  </si>
  <si>
    <t>Content of the submission [SPV]</t>
  </si>
  <si>
    <t>SPV.01.01.20</t>
  </si>
  <si>
    <t>SPV.01.02</t>
  </si>
  <si>
    <t>Basic Information [SPV]</t>
  </si>
  <si>
    <t>SPV.01.02.20</t>
  </si>
  <si>
    <t>SPV.02.01</t>
  </si>
  <si>
    <t>Balance sheet [SPV]</t>
  </si>
  <si>
    <t>SPV.02.01.20</t>
  </si>
  <si>
    <t>SPV.02.02</t>
  </si>
  <si>
    <t>Off-balance sheet items and obligations [SPV]</t>
  </si>
  <si>
    <t>SPV.02.02.20</t>
  </si>
  <si>
    <t>SPV.03.01</t>
  </si>
  <si>
    <t>Assets held for separable risk [SPV]</t>
  </si>
  <si>
    <t>SPV.03.01.20</t>
  </si>
  <si>
    <t>SPV.03.02</t>
  </si>
  <si>
    <t>Amount of the debt or other financing mechanism issued for arrangement [SPV]</t>
  </si>
  <si>
    <t>SPV.03.02.20</t>
  </si>
  <si>
    <t>T.99.01</t>
  </si>
  <si>
    <t>Technical table</t>
  </si>
  <si>
    <t>T.99.01.01</t>
  </si>
  <si>
    <t>All values are stated in kSEK.</t>
  </si>
  <si>
    <t>S.19.01.21.01</t>
  </si>
  <si>
    <t>S.19.01.21.02</t>
  </si>
  <si>
    <t>S.19.01.21.03</t>
  </si>
  <si>
    <t>S.19.01.21.04</t>
  </si>
  <si>
    <t>Accident year</t>
  </si>
  <si>
    <t>Gross Claims Paid (non-cumulative) - Development year (absolute amount). Total Non-Life Business</t>
  </si>
  <si>
    <t>Gross undiscounted Best Estimate Claims Provisions - Development year (absolute amount). Total Non-Life Business</t>
  </si>
  <si>
    <t>10 &amp; +</t>
  </si>
  <si>
    <t>In Current year</t>
  </si>
  <si>
    <t>Sum of years (cumulative)</t>
  </si>
  <si>
    <t>Year end (discounted data)</t>
  </si>
  <si>
    <t>C0290</t>
  </si>
  <si>
    <t>C0360</t>
  </si>
  <si>
    <t>Prior</t>
  </si>
  <si>
    <t>S.23.01.01</t>
  </si>
  <si>
    <t>S.23.01.01.01</t>
  </si>
  <si>
    <t>Tier 1 - unrestricted</t>
  </si>
  <si>
    <t>Tier 1 - restricted</t>
  </si>
  <si>
    <t>Tier 2</t>
  </si>
  <si>
    <t>Tier 3</t>
  </si>
  <si>
    <t>Basic own funds before deduction for participations in other financial sector as foreseen in article 68 of Delegated Regulation 2015/35</t>
  </si>
  <si>
    <t>Ordinary share capital (gross of own shares)</t>
  </si>
  <si>
    <t>Share premium account related to ordinary share capital</t>
  </si>
  <si>
    <t>Initial funds, members' contributions or the equivalent basic own - fund item for mutual and mutual-type undertakings</t>
  </si>
  <si>
    <t>Subordinated mutual member accounts</t>
  </si>
  <si>
    <t>Surplus funds</t>
  </si>
  <si>
    <t>Preference shares</t>
  </si>
  <si>
    <t>Share premium account related to preference shares</t>
  </si>
  <si>
    <t>Reconciliation reserve</t>
  </si>
  <si>
    <t>An amount equal to the value of net deferred tax assets</t>
  </si>
  <si>
    <t>Other own fund items approved by the supervisory authority as basic own funds not specified above</t>
  </si>
  <si>
    <t>Own funds from the financial statements that should not be represented by the reconciliation reserve and do not meet the criteria to be classified as Solvency II own funds</t>
  </si>
  <si>
    <t>Deductions</t>
  </si>
  <si>
    <t>Deductions for participations in financial and credit institutions</t>
  </si>
  <si>
    <t>Total basic own funds after deductions</t>
  </si>
  <si>
    <t>Ancillary own funds</t>
  </si>
  <si>
    <t>Unpaid and uncalled ordinary share capital callable on demand</t>
  </si>
  <si>
    <t>Unpaid and uncalled initial funds, members' contributions or the equivalent basic own fund item for mutual and mutual - type undertakings, callable on demand</t>
  </si>
  <si>
    <t>Unpaid and uncalled preference shares callable on demand</t>
  </si>
  <si>
    <t>A legally binding commitment to subscribe and pay for subordinated liabilities on demand</t>
  </si>
  <si>
    <t>Letters of credit and guarantees under Article 96(2) of the Directive 2009/138/EC</t>
  </si>
  <si>
    <t>Letters of credit and guarantees other than under Article 96(2) of the Directive 2009/138/EC</t>
  </si>
  <si>
    <t>Supplementary members calls under first subparagraph of Article 96(3) of the Directive 2009/138/EC</t>
  </si>
  <si>
    <t>Supplementary members calls - other than under first subparagraph of Article 96(3) of the Directive 2009/138/EC</t>
  </si>
  <si>
    <t>Other ancillary own funds</t>
  </si>
  <si>
    <t>Total ancillary own funds</t>
  </si>
  <si>
    <t>Available and eligible own funds</t>
  </si>
  <si>
    <t>Total available own funds to meet the SCR</t>
  </si>
  <si>
    <t>Total available own funds to meet the MCR</t>
  </si>
  <si>
    <t>Total eligible own funds to meet the SCR</t>
  </si>
  <si>
    <t>Total eligible own funds to meet the MCR</t>
  </si>
  <si>
    <t>SCR</t>
  </si>
  <si>
    <t>MCR</t>
  </si>
  <si>
    <t>Ratio of Eligible own funds to SCR</t>
  </si>
  <si>
    <t>Ratio of Eligible own funds to MCR</t>
  </si>
  <si>
    <t>S.23.01.01.02</t>
  </si>
  <si>
    <t>Own shares (held directly and indirectly)</t>
  </si>
  <si>
    <t>Foreseeable dividends, distributions and charges</t>
  </si>
  <si>
    <t>Other basic own fund items</t>
  </si>
  <si>
    <t>Adjustment for restricted own fund items in respect of matching adjustment portfolios and ring fenced funds</t>
  </si>
  <si>
    <t>Expected profits</t>
  </si>
  <si>
    <t>Expected profits included in future premiums (EPIFP) - Life business</t>
  </si>
  <si>
    <t>Expected profits included in future premiums (EPIFP) - Non-life business</t>
  </si>
  <si>
    <t>Total Expected profits included in future premiums (EPIFP)</t>
  </si>
  <si>
    <t>S.25.02.21.01</t>
  </si>
  <si>
    <t>Component-specific information</t>
  </si>
  <si>
    <t>Unique number of component</t>
  </si>
  <si>
    <t>Components Description</t>
  </si>
  <si>
    <t>Calculation of the Solvency Capital Requirement</t>
  </si>
  <si>
    <t>Amount modelled</t>
  </si>
  <si>
    <t>USP</t>
  </si>
  <si>
    <t>Simplifications</t>
  </si>
  <si>
    <t>Market risk</t>
  </si>
  <si>
    <t>Counterparty default risk</t>
  </si>
  <si>
    <t>Life underwriting risk</t>
  </si>
  <si>
    <t>Health underwriting risk</t>
  </si>
  <si>
    <t>Non-life underwriting risk</t>
  </si>
  <si>
    <t>Operational Risk</t>
  </si>
  <si>
    <t>Loss-absorbing capacity of deferred taxes</t>
  </si>
  <si>
    <t>IM UW</t>
  </si>
  <si>
    <t>S.25.02.21.02</t>
  </si>
  <si>
    <t>Calculation of Solvency Capital Requirement</t>
  </si>
  <si>
    <t>Total undiversified components</t>
  </si>
  <si>
    <t>Diversification</t>
  </si>
  <si>
    <t>Capital requirement for business operated in accordance with Art. 4 of Directive 2003/41/EC</t>
  </si>
  <si>
    <t>Solvency capital requirement excluding capital add-on</t>
  </si>
  <si>
    <t>Capital add-ons already set</t>
  </si>
  <si>
    <t>Solvency capital requirement</t>
  </si>
  <si>
    <t>Other information on SCR</t>
  </si>
  <si>
    <t>Amount/estimate of the overall loss-absorbing capacity of technical provisions</t>
  </si>
  <si>
    <t>Amount/estimate of the overall loss-absorbing capacity of deferred taxes</t>
  </si>
  <si>
    <t>Capital requirement for duration-based equity risk sub-module</t>
  </si>
  <si>
    <t>Total amount of Notional Solvency Capital Requirements for remaining part</t>
  </si>
  <si>
    <t>Total amount of Notional Solvency Capital Requirement for ring fenced funds</t>
  </si>
  <si>
    <t>Total amount of Notional Solvency Capital Requirement for matching adjustment portfolios</t>
  </si>
  <si>
    <t>Diversification effects due to RFF nSCR aggregation for article 304</t>
  </si>
  <si>
    <t>S.28.01.01.01</t>
  </si>
  <si>
    <t>Linear formula component for non-life insurance and reinsurance obligations</t>
  </si>
  <si>
    <t>MCR components</t>
  </si>
  <si>
    <r>
      <t>MCR</t>
    </r>
    <r>
      <rPr>
        <vertAlign val="subscript"/>
        <sz val="11"/>
        <rFont val="Calibri"/>
        <family val="2"/>
        <charset val="238"/>
        <scheme val="minor"/>
      </rPr>
      <t>NL</t>
    </r>
    <r>
      <rPr>
        <sz val="11"/>
        <rFont val="Calibri"/>
        <family val="2"/>
        <charset val="238"/>
        <scheme val="minor"/>
      </rPr>
      <t xml:space="preserve"> Result</t>
    </r>
  </si>
  <si>
    <t>S.28.01.01.02</t>
  </si>
  <si>
    <t>Background information</t>
  </si>
  <si>
    <t>Net (of reinsurance/SPV) best estimate and TP calculated as a whole</t>
  </si>
  <si>
    <t>Net (of reinsurance) written premiums in the last 12 months</t>
  </si>
  <si>
    <t>Medical expense insurance and proportional reinsurance</t>
  </si>
  <si>
    <t>Income protection insurance and proportional reinsurance</t>
  </si>
  <si>
    <t>Workers' compensation insurance and proportional reinsurance</t>
  </si>
  <si>
    <t>Motor vehicle liability insurance and proportional reinsurance</t>
  </si>
  <si>
    <t>Other motor insurance and proportional reinsurance</t>
  </si>
  <si>
    <t>Marine, aviation and transport insurance and proportional reinsurance</t>
  </si>
  <si>
    <t>Fire and other damage to property insurance and proportional reinsurance</t>
  </si>
  <si>
    <t>General liability insurance and proportional reinsurance</t>
  </si>
  <si>
    <t>Credit and suretyship insurance and proportional reinsurance</t>
  </si>
  <si>
    <t>Legal expenses insurance and proportional reinsurance</t>
  </si>
  <si>
    <t>Assistance and proportional reinsurance</t>
  </si>
  <si>
    <t>Miscellaneous financial loss insurance and proportional reinsurance</t>
  </si>
  <si>
    <t>S.28.01.01.03</t>
  </si>
  <si>
    <t>Linear formula component for life insurance and reinsurance obligations</t>
  </si>
  <si>
    <r>
      <t>MCR</t>
    </r>
    <r>
      <rPr>
        <vertAlign val="subscript"/>
        <sz val="11"/>
        <rFont val="Calibri"/>
        <family val="2"/>
        <charset val="238"/>
        <scheme val="minor"/>
      </rPr>
      <t>L</t>
    </r>
    <r>
      <rPr>
        <sz val="11"/>
        <rFont val="Calibri"/>
        <family val="2"/>
        <charset val="238"/>
        <scheme val="minor"/>
      </rPr>
      <t xml:space="preserve"> Result</t>
    </r>
  </si>
  <si>
    <t>S.28.01.01.04</t>
  </si>
  <si>
    <t>Total capital at risk for all life (re)insurance obligations</t>
  </si>
  <si>
    <t>Net (of reinsurance/SPV) total capital at risk</t>
  </si>
  <si>
    <t>Obligations with profit participation - guaranteed benefits</t>
  </si>
  <si>
    <t>Obligations with profit participation - future discretionary benefits</t>
  </si>
  <si>
    <t>Index-linked and unit-linked insurance obligations</t>
  </si>
  <si>
    <t>Other life (re)insurance and health (re)insurance obligations</t>
  </si>
  <si>
    <t>S.28.01.01.05</t>
  </si>
  <si>
    <t>Overall MCR calculation</t>
  </si>
  <si>
    <t>Linear MCR</t>
  </si>
  <si>
    <t>MCR cap</t>
  </si>
  <si>
    <t>MCR floor</t>
  </si>
  <si>
    <t>Combined MCR</t>
  </si>
  <si>
    <t>Absolute floor of the MCR</t>
  </si>
  <si>
    <t>Minimum Capital Requirement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</si>
</sst>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#&quot; &quot;"/>
    <numFmt numFmtId="165" formatCode="00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rgb="FF0070C0"/>
      <name val="Calibri"/>
      <family val="2"/>
      <charset val="238"/>
      <scheme val="minor"/>
    </font>
    <font>
      <strike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sz val="11"/>
      <color theme="6" tint="-0.499984740745262"/>
      <name val="Calibri"/>
      <family val="2"/>
      <charset val="238"/>
      <scheme val="minor"/>
    </font>
    <font>
      <sz val="11"/>
      <color rgb="FF00B0F0"/>
      <name val="Calibri"/>
      <family val="2"/>
      <charset val="238"/>
      <scheme val="minor"/>
    </font>
    <font>
      <sz val="11"/>
      <color theme="9" tint="-0.249977111117893"/>
      <name val="Calibri"/>
      <family val="2"/>
      <charset val="238"/>
      <scheme val="minor"/>
    </font>
    <font>
      <sz val="11"/>
      <color rgb="FF00B050"/>
      <name val="Calibri"/>
      <family val="2"/>
      <charset val="238"/>
      <scheme val="minor"/>
    </font>
    <font>
      <sz val="11"/>
      <color rgb="FF7030A0"/>
      <name val="Calibri"/>
      <family val="2"/>
      <charset val="238"/>
      <scheme val="minor"/>
    </font>
    <font>
      <sz val="11"/>
      <color theme="8" tint="-0.249977111117893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trike/>
      <sz val="11"/>
      <color rgb="FFFF0000"/>
      <name val="Calibri"/>
      <family val="2"/>
      <charset val="238"/>
      <scheme val="minor"/>
    </font>
    <font>
      <i/>
      <u/>
      <sz val="11"/>
      <name val="Calibri"/>
      <family val="2"/>
      <charset val="238"/>
      <scheme val="minor"/>
    </font>
    <font>
      <sz val="11"/>
      <color indexed="8"/>
      <name val="Calibri"/>
      <family val="2"/>
    </font>
    <font>
      <b/>
      <sz val="11"/>
      <name val="Calibri"/>
      <family val="2"/>
      <scheme val="minor"/>
    </font>
    <font>
      <sz val="11"/>
      <color theme="7" tint="-0.249977111117893"/>
      <name val="Calibri"/>
      <family val="2"/>
      <charset val="238"/>
      <scheme val="minor"/>
    </font>
    <font>
      <vertAlign val="subscript"/>
      <sz val="11"/>
      <name val="Calibri"/>
      <family val="2"/>
      <charset val="238"/>
      <scheme val="minor"/>
    </font>
    <font>
      <sz val="1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lightGray"/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18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9" fontId="6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1" fillId="0" borderId="0"/>
    <xf numFmtId="0" fontId="6" fillId="0" borderId="0" applyNumberFormat="0" applyFont="0" applyFill="0" applyBorder="0" applyAlignment="0" applyProtection="0"/>
    <xf numFmtId="0" fontId="6" fillId="6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23" fillId="0" borderId="0"/>
  </cellStyleXfs>
  <cellXfs count="302">
    <xf numFmtId="0" fontId="0" fillId="0" borderId="0" xfId="0"/>
    <xf numFmtId="0" fontId="1" fillId="0" borderId="0" xfId="3" applyFont="1"/>
    <xf numFmtId="0" fontId="1" fillId="0" borderId="0" xfId="3" applyFont="1" applyAlignment="1">
      <alignment horizontal="left"/>
    </xf>
    <xf numFmtId="0" fontId="2" fillId="0" borderId="0" xfId="3" applyFont="1"/>
    <xf numFmtId="0" fontId="1" fillId="2" borderId="0" xfId="3" applyFont="1" applyFill="1" applyAlignment="1">
      <alignment wrapText="1"/>
    </xf>
    <xf numFmtId="0" fontId="1" fillId="0" borderId="0" xfId="3" applyFont="1" applyAlignment="1">
      <alignment wrapText="1"/>
    </xf>
    <xf numFmtId="0" fontId="1" fillId="3" borderId="1" xfId="3" applyFont="1" applyFill="1" applyBorder="1" applyAlignment="1">
      <alignment horizontal="center" vertical="center" wrapText="1"/>
    </xf>
    <xf numFmtId="0" fontId="1" fillId="3" borderId="2" xfId="3" applyFont="1" applyFill="1" applyBorder="1" applyAlignment="1">
      <alignment horizontal="center" vertical="center" wrapText="1"/>
    </xf>
    <xf numFmtId="0" fontId="1" fillId="3" borderId="3" xfId="3" applyFont="1" applyFill="1" applyBorder="1" applyAlignment="1">
      <alignment horizontal="center" vertical="center" wrapText="1"/>
    </xf>
    <xf numFmtId="0" fontId="1" fillId="3" borderId="4" xfId="3" applyFont="1" applyFill="1" applyBorder="1" applyAlignment="1">
      <alignment horizontal="center" vertical="center" wrapText="1"/>
    </xf>
    <xf numFmtId="0" fontId="2" fillId="3" borderId="2" xfId="3" applyFont="1" applyFill="1" applyBorder="1" applyAlignment="1">
      <alignment horizontal="center" vertical="center" wrapText="1"/>
    </xf>
    <xf numFmtId="0" fontId="2" fillId="3" borderId="3" xfId="3" applyFont="1" applyFill="1" applyBorder="1" applyAlignment="1">
      <alignment horizontal="center" vertical="center" wrapText="1"/>
    </xf>
    <xf numFmtId="0" fontId="1" fillId="3" borderId="5" xfId="3" applyFont="1" applyFill="1" applyBorder="1" applyAlignment="1">
      <alignment horizontal="center" vertical="center" wrapText="1"/>
    </xf>
    <xf numFmtId="0" fontId="1" fillId="0" borderId="4" xfId="3" applyFont="1" applyBorder="1" applyAlignment="1">
      <alignment horizontal="center" vertical="center" wrapText="1"/>
    </xf>
    <xf numFmtId="0" fontId="1" fillId="0" borderId="7" xfId="3" applyFont="1" applyBorder="1" applyAlignment="1">
      <alignment horizontal="center" vertical="center" wrapText="1"/>
    </xf>
    <xf numFmtId="0" fontId="1" fillId="0" borderId="8" xfId="3" applyFont="1" applyBorder="1" applyAlignment="1">
      <alignment horizontal="center" vertical="center" wrapText="1"/>
    </xf>
    <xf numFmtId="0" fontId="1" fillId="0" borderId="0" xfId="3" applyFont="1" applyAlignment="1">
      <alignment horizontal="center" vertical="center" wrapText="1"/>
    </xf>
    <xf numFmtId="0" fontId="1" fillId="0" borderId="5" xfId="3" applyFont="1" applyBorder="1"/>
    <xf numFmtId="0" fontId="1" fillId="0" borderId="1" xfId="3" applyFont="1" applyBorder="1"/>
    <xf numFmtId="0" fontId="5" fillId="0" borderId="9" xfId="2" applyFont="1" applyBorder="1" applyAlignment="1">
      <alignment horizontal="center" vertical="center"/>
    </xf>
    <xf numFmtId="0" fontId="5" fillId="0" borderId="10" xfId="2" applyFont="1" applyBorder="1" applyAlignment="1">
      <alignment horizontal="center" vertical="center"/>
    </xf>
    <xf numFmtId="0" fontId="5" fillId="0" borderId="11" xfId="2" applyFont="1" applyBorder="1" applyAlignment="1">
      <alignment horizontal="center" vertical="center"/>
    </xf>
    <xf numFmtId="0" fontId="5" fillId="0" borderId="12" xfId="2" applyFont="1" applyBorder="1" applyAlignment="1">
      <alignment horizontal="center" vertical="center"/>
    </xf>
    <xf numFmtId="0" fontId="5" fillId="0" borderId="13" xfId="2" applyFont="1" applyBorder="1" applyAlignment="1">
      <alignment horizontal="center" vertical="center"/>
    </xf>
    <xf numFmtId="0" fontId="5" fillId="0" borderId="14" xfId="2" applyFont="1" applyBorder="1" applyAlignment="1">
      <alignment horizontal="center" vertical="center"/>
    </xf>
    <xf numFmtId="0" fontId="5" fillId="0" borderId="15" xfId="2" applyFont="1" applyBorder="1" applyAlignment="1">
      <alignment horizontal="center" vertical="center"/>
    </xf>
    <xf numFmtId="0" fontId="5" fillId="0" borderId="16" xfId="2" applyFont="1" applyBorder="1" applyAlignment="1">
      <alignment horizontal="center" vertical="center" wrapText="1"/>
    </xf>
    <xf numFmtId="0" fontId="1" fillId="0" borderId="17" xfId="3" applyFont="1" applyBorder="1"/>
    <xf numFmtId="0" fontId="1" fillId="0" borderId="18" xfId="3" applyFont="1" applyBorder="1"/>
    <xf numFmtId="0" fontId="5" fillId="4" borderId="19" xfId="2" applyFont="1" applyFill="1" applyBorder="1" applyAlignment="1">
      <alignment horizontal="center" vertical="center"/>
    </xf>
    <xf numFmtId="0" fontId="5" fillId="4" borderId="13" xfId="2" applyFont="1" applyFill="1" applyBorder="1" applyAlignment="1">
      <alignment horizontal="center" vertical="center"/>
    </xf>
    <xf numFmtId="0" fontId="5" fillId="4" borderId="14" xfId="2" applyFont="1" applyFill="1" applyBorder="1" applyAlignment="1">
      <alignment horizontal="center" vertical="center"/>
    </xf>
    <xf numFmtId="0" fontId="5" fillId="4" borderId="20" xfId="2" applyFont="1" applyFill="1" applyBorder="1" applyAlignment="1">
      <alignment horizontal="center" vertical="center"/>
    </xf>
    <xf numFmtId="0" fontId="5" fillId="0" borderId="21" xfId="2" applyFont="1" applyBorder="1" applyAlignment="1">
      <alignment horizontal="center" vertical="center"/>
    </xf>
    <xf numFmtId="0" fontId="5" fillId="0" borderId="19" xfId="2" applyFont="1" applyBorder="1" applyAlignment="1">
      <alignment horizontal="center" vertical="center"/>
    </xf>
    <xf numFmtId="0" fontId="5" fillId="0" borderId="22" xfId="2" applyFont="1" applyBorder="1" applyAlignment="1">
      <alignment horizontal="center" vertical="center" wrapText="1"/>
    </xf>
    <xf numFmtId="0" fontId="5" fillId="0" borderId="20" xfId="2" applyFont="1" applyBorder="1" applyAlignment="1">
      <alignment horizontal="center" vertical="center"/>
    </xf>
    <xf numFmtId="0" fontId="5" fillId="2" borderId="19" xfId="2" applyFont="1" applyFill="1" applyBorder="1" applyAlignment="1">
      <alignment horizontal="center" vertical="center"/>
    </xf>
    <xf numFmtId="0" fontId="4" fillId="0" borderId="19" xfId="2" applyBorder="1" applyAlignment="1">
      <alignment horizontal="center" vertical="center" wrapText="1"/>
    </xf>
    <xf numFmtId="0" fontId="4" fillId="0" borderId="14" xfId="2" applyBorder="1" applyAlignment="1">
      <alignment horizontal="center" vertical="center" wrapText="1"/>
    </xf>
    <xf numFmtId="0" fontId="5" fillId="0" borderId="13" xfId="2" applyFont="1" applyFill="1" applyBorder="1" applyAlignment="1">
      <alignment horizontal="center" vertical="center"/>
    </xf>
    <xf numFmtId="0" fontId="5" fillId="0" borderId="19" xfId="2" applyFont="1" applyFill="1" applyBorder="1" applyAlignment="1">
      <alignment horizontal="center" vertical="center"/>
    </xf>
    <xf numFmtId="0" fontId="5" fillId="0" borderId="14" xfId="2" applyFont="1" applyFill="1" applyBorder="1" applyAlignment="1">
      <alignment horizontal="center" vertical="center"/>
    </xf>
    <xf numFmtId="0" fontId="5" fillId="0" borderId="20" xfId="2" applyFont="1" applyFill="1" applyBorder="1" applyAlignment="1">
      <alignment horizontal="center" vertical="center"/>
    </xf>
    <xf numFmtId="0" fontId="4" fillId="0" borderId="19" xfId="2" applyFill="1" applyBorder="1" applyAlignment="1">
      <alignment horizontal="center" vertical="center" wrapText="1"/>
    </xf>
    <xf numFmtId="0" fontId="4" fillId="0" borderId="14" xfId="2" applyFill="1" applyBorder="1" applyAlignment="1">
      <alignment horizontal="center" vertical="center" wrapText="1"/>
    </xf>
    <xf numFmtId="0" fontId="5" fillId="2" borderId="13" xfId="2" applyFont="1" applyFill="1" applyBorder="1" applyAlignment="1">
      <alignment horizontal="center" vertical="center"/>
    </xf>
    <xf numFmtId="0" fontId="4" fillId="2" borderId="14" xfId="2" applyFill="1" applyBorder="1" applyAlignment="1">
      <alignment horizontal="center" vertical="center" wrapText="1"/>
    </xf>
    <xf numFmtId="0" fontId="5" fillId="0" borderId="23" xfId="2" applyFont="1" applyBorder="1" applyAlignment="1">
      <alignment horizontal="center" vertical="center"/>
    </xf>
    <xf numFmtId="0" fontId="5" fillId="0" borderId="24" xfId="2" applyFont="1" applyBorder="1" applyAlignment="1">
      <alignment horizontal="center" vertical="center"/>
    </xf>
    <xf numFmtId="0" fontId="5" fillId="0" borderId="25" xfId="2" applyFont="1" applyBorder="1" applyAlignment="1">
      <alignment horizontal="center" vertical="center"/>
    </xf>
    <xf numFmtId="0" fontId="5" fillId="0" borderId="26" xfId="2" applyFont="1" applyBorder="1" applyAlignment="1">
      <alignment horizontal="center" vertical="center"/>
    </xf>
    <xf numFmtId="0" fontId="5" fillId="0" borderId="27" xfId="2" applyFont="1" applyBorder="1" applyAlignment="1">
      <alignment horizontal="center" vertical="center"/>
    </xf>
    <xf numFmtId="0" fontId="5" fillId="0" borderId="28" xfId="2" applyFont="1" applyBorder="1" applyAlignment="1">
      <alignment horizontal="center" vertical="center" wrapText="1"/>
    </xf>
    <xf numFmtId="0" fontId="1" fillId="0" borderId="29" xfId="3" applyFont="1" applyBorder="1"/>
    <xf numFmtId="0" fontId="1" fillId="0" borderId="30" xfId="3" applyFont="1" applyBorder="1"/>
    <xf numFmtId="0" fontId="4" fillId="0" borderId="31" xfId="2" applyBorder="1" applyAlignment="1">
      <alignment horizontal="center" vertical="center"/>
    </xf>
    <xf numFmtId="0" fontId="4" fillId="0" borderId="32" xfId="2" applyBorder="1" applyAlignment="1">
      <alignment horizontal="center" vertical="center"/>
    </xf>
    <xf numFmtId="0" fontId="4" fillId="0" borderId="33" xfId="2" applyBorder="1" applyAlignment="1">
      <alignment horizontal="center" vertical="center"/>
    </xf>
    <xf numFmtId="0" fontId="4" fillId="0" borderId="34" xfId="2" applyBorder="1" applyAlignment="1">
      <alignment horizontal="center" vertical="center"/>
    </xf>
    <xf numFmtId="0" fontId="5" fillId="0" borderId="31" xfId="2" applyFont="1" applyBorder="1" applyAlignment="1">
      <alignment horizontal="center" vertical="center"/>
    </xf>
    <xf numFmtId="0" fontId="5" fillId="0" borderId="33" xfId="2" applyFont="1" applyBorder="1" applyAlignment="1">
      <alignment horizontal="center" vertical="center"/>
    </xf>
    <xf numFmtId="0" fontId="4" fillId="0" borderId="35" xfId="2" applyBorder="1" applyAlignment="1">
      <alignment horizontal="center" vertical="center"/>
    </xf>
    <xf numFmtId="0" fontId="7" fillId="0" borderId="0" xfId="0" applyFont="1"/>
    <xf numFmtId="0" fontId="1" fillId="0" borderId="0" xfId="0" applyFont="1"/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/>
    </xf>
    <xf numFmtId="0" fontId="2" fillId="0" borderId="13" xfId="0" applyFont="1" applyBorder="1" applyAlignment="1">
      <alignment horizontal="center" vertical="top" wrapText="1"/>
    </xf>
    <xf numFmtId="3" fontId="2" fillId="5" borderId="13" xfId="4" applyNumberFormat="1" applyFont="1" applyFill="1" applyBorder="1" applyAlignment="1">
      <alignment horizontal="right" vertical="top"/>
    </xf>
    <xf numFmtId="0" fontId="2" fillId="0" borderId="0" xfId="0" applyFont="1"/>
    <xf numFmtId="0" fontId="2" fillId="0" borderId="13" xfId="0" applyFont="1" applyBorder="1" applyAlignment="1">
      <alignment horizontal="left" indent="3"/>
    </xf>
    <xf numFmtId="0" fontId="2" fillId="0" borderId="13" xfId="0" applyFont="1" applyBorder="1" applyAlignment="1">
      <alignment horizontal="left" wrapText="1" indent="2"/>
    </xf>
    <xf numFmtId="0" fontId="1" fillId="0" borderId="0" xfId="0" applyFont="1" applyAlignment="1">
      <alignment wrapText="1"/>
    </xf>
    <xf numFmtId="0" fontId="8" fillId="0" borderId="13" xfId="0" applyFont="1" applyBorder="1" applyAlignment="1">
      <alignment horizontal="left" indent="1"/>
    </xf>
    <xf numFmtId="0" fontId="2" fillId="0" borderId="13" xfId="5" applyFont="1" applyFill="1" applyBorder="1" applyAlignment="1">
      <alignment horizontal="right"/>
    </xf>
    <xf numFmtId="0" fontId="9" fillId="0" borderId="0" xfId="0" applyFont="1"/>
    <xf numFmtId="0" fontId="8" fillId="0" borderId="13" xfId="0" applyFont="1" applyBorder="1"/>
    <xf numFmtId="0" fontId="8" fillId="0" borderId="0" xfId="0" applyFont="1"/>
    <xf numFmtId="0" fontId="5" fillId="0" borderId="0" xfId="2" applyFont="1"/>
    <xf numFmtId="0" fontId="2" fillId="0" borderId="0" xfId="6" applyFont="1"/>
    <xf numFmtId="0" fontId="9" fillId="0" borderId="0" xfId="6" applyFont="1"/>
    <xf numFmtId="0" fontId="2" fillId="0" borderId="38" xfId="6" applyFont="1" applyBorder="1"/>
    <xf numFmtId="0" fontId="2" fillId="0" borderId="24" xfId="6" quotePrefix="1" applyFont="1" applyBorder="1" applyAlignment="1">
      <alignment horizontal="center" vertical="center" wrapText="1"/>
    </xf>
    <xf numFmtId="0" fontId="8" fillId="0" borderId="13" xfId="0" applyFont="1" applyBorder="1" applyAlignment="1">
      <alignment horizontal="left" wrapText="1"/>
    </xf>
    <xf numFmtId="0" fontId="10" fillId="0" borderId="0" xfId="6" applyFont="1"/>
    <xf numFmtId="0" fontId="2" fillId="0" borderId="0" xfId="6" applyFont="1" applyAlignment="1">
      <alignment wrapText="1"/>
    </xf>
    <xf numFmtId="0" fontId="2" fillId="0" borderId="0" xfId="6" applyFont="1" applyAlignment="1">
      <alignment horizontal="center"/>
    </xf>
    <xf numFmtId="0" fontId="1" fillId="0" borderId="0" xfId="6" applyFont="1"/>
    <xf numFmtId="0" fontId="2" fillId="0" borderId="0" xfId="6" applyFont="1" applyAlignment="1">
      <alignment horizontal="center" vertical="center" wrapText="1"/>
    </xf>
    <xf numFmtId="0" fontId="10" fillId="0" borderId="0" xfId="6" applyFont="1" applyAlignment="1">
      <alignment horizontal="center" vertical="center" wrapText="1"/>
    </xf>
    <xf numFmtId="0" fontId="2" fillId="0" borderId="0" xfId="6" applyFont="1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6" quotePrefix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8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2" fillId="0" borderId="40" xfId="0" applyFont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/>
    </xf>
    <xf numFmtId="0" fontId="12" fillId="0" borderId="45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7" borderId="0" xfId="0" applyFont="1" applyFill="1" applyAlignment="1">
      <alignment horizontal="center" vertical="center"/>
    </xf>
    <xf numFmtId="0" fontId="8" fillId="0" borderId="13" xfId="0" applyFont="1" applyBorder="1" applyAlignment="1">
      <alignment horizontal="left"/>
    </xf>
    <xf numFmtId="0" fontId="12" fillId="0" borderId="13" xfId="0" applyFont="1" applyBorder="1" applyAlignment="1">
      <alignment horizontal="center"/>
    </xf>
    <xf numFmtId="0" fontId="12" fillId="0" borderId="13" xfId="5" applyFont="1" applyFill="1" applyBorder="1" applyAlignment="1">
      <alignment horizontal="right" vertical="center" wrapText="1"/>
    </xf>
    <xf numFmtId="0" fontId="10" fillId="0" borderId="0" xfId="0" applyFont="1"/>
    <xf numFmtId="0" fontId="13" fillId="0" borderId="0" xfId="0" applyFont="1"/>
    <xf numFmtId="0" fontId="14" fillId="0" borderId="0" xfId="0" applyFont="1"/>
    <xf numFmtId="0" fontId="8" fillId="0" borderId="13" xfId="0" applyFont="1" applyBorder="1" applyAlignment="1">
      <alignment horizontal="left" vertical="center" indent="2"/>
    </xf>
    <xf numFmtId="164" fontId="12" fillId="0" borderId="13" xfId="5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wrapText="1"/>
    </xf>
    <xf numFmtId="0" fontId="13" fillId="0" borderId="0" xfId="0" applyFont="1" applyAlignment="1">
      <alignment wrapText="1"/>
    </xf>
    <xf numFmtId="0" fontId="14" fillId="0" borderId="0" xfId="0" applyFont="1" applyAlignment="1">
      <alignment horizontal="left"/>
    </xf>
    <xf numFmtId="0" fontId="2" fillId="0" borderId="0" xfId="0" applyFont="1" applyAlignment="1">
      <alignment wrapText="1"/>
    </xf>
    <xf numFmtId="0" fontId="10" fillId="0" borderId="0" xfId="0" applyFont="1" applyAlignment="1">
      <alignment horizontal="left"/>
    </xf>
    <xf numFmtId="0" fontId="15" fillId="0" borderId="0" xfId="0" applyFont="1"/>
    <xf numFmtId="0" fontId="2" fillId="0" borderId="0" xfId="0" applyFont="1" applyAlignment="1">
      <alignment horizontal="left"/>
    </xf>
    <xf numFmtId="0" fontId="10" fillId="7" borderId="0" xfId="0" applyFont="1" applyFill="1"/>
    <xf numFmtId="0" fontId="2" fillId="0" borderId="13" xfId="0" applyFont="1" applyBorder="1" applyAlignment="1">
      <alignment horizontal="right"/>
    </xf>
    <xf numFmtId="0" fontId="2" fillId="0" borderId="37" xfId="0" applyFont="1" applyBorder="1" applyAlignment="1">
      <alignment horizontal="right"/>
    </xf>
    <xf numFmtId="0" fontId="8" fillId="0" borderId="13" xfId="0" applyFont="1" applyBorder="1" applyAlignment="1">
      <alignment wrapText="1"/>
    </xf>
    <xf numFmtId="0" fontId="2" fillId="0" borderId="0" xfId="0" applyFont="1" applyAlignment="1">
      <alignment horizontal="left" vertical="center" wrapText="1"/>
    </xf>
    <xf numFmtId="0" fontId="9" fillId="0" borderId="0" xfId="0" applyFont="1" applyAlignment="1">
      <alignment wrapText="1"/>
    </xf>
    <xf numFmtId="0" fontId="16" fillId="0" borderId="0" xfId="0" applyFont="1" applyAlignment="1">
      <alignment wrapText="1"/>
    </xf>
    <xf numFmtId="0" fontId="17" fillId="0" borderId="0" xfId="0" applyFont="1" applyAlignment="1">
      <alignment wrapText="1"/>
    </xf>
    <xf numFmtId="0" fontId="15" fillId="0" borderId="0" xfId="0" applyFont="1" applyAlignment="1">
      <alignment wrapText="1"/>
    </xf>
    <xf numFmtId="0" fontId="18" fillId="0" borderId="0" xfId="0" applyFont="1" applyAlignment="1">
      <alignment wrapText="1"/>
    </xf>
    <xf numFmtId="0" fontId="14" fillId="0" borderId="0" xfId="0" applyFont="1" applyAlignment="1">
      <alignment horizontal="left" wrapText="1"/>
    </xf>
    <xf numFmtId="0" fontId="16" fillId="7" borderId="0" xfId="0" applyFont="1" applyFill="1" applyAlignment="1">
      <alignment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16" fillId="0" borderId="0" xfId="0" applyFont="1"/>
    <xf numFmtId="0" fontId="17" fillId="0" borderId="0" xfId="0" applyFont="1"/>
    <xf numFmtId="0" fontId="18" fillId="0" borderId="0" xfId="0" applyFont="1"/>
    <xf numFmtId="0" fontId="16" fillId="7" borderId="0" xfId="0" applyFont="1" applyFill="1"/>
    <xf numFmtId="0" fontId="8" fillId="0" borderId="0" xfId="0" applyFont="1" applyAlignment="1">
      <alignment horizontal="left" wrapText="1"/>
    </xf>
    <xf numFmtId="0" fontId="8" fillId="0" borderId="0" xfId="0" applyFont="1" applyAlignment="1">
      <alignment horizontal="left" indent="1"/>
    </xf>
    <xf numFmtId="0" fontId="8" fillId="0" borderId="0" xfId="0" applyFont="1" applyAlignment="1">
      <alignment horizontal="left" vertical="center" indent="2"/>
    </xf>
    <xf numFmtId="0" fontId="2" fillId="0" borderId="0" xfId="0" applyFont="1" applyAlignment="1">
      <alignment horizontal="left" wrapText="1" indent="2"/>
    </xf>
    <xf numFmtId="0" fontId="8" fillId="0" borderId="0" xfId="0" applyFont="1" applyAlignment="1">
      <alignment wrapText="1"/>
    </xf>
    <xf numFmtId="0" fontId="16" fillId="0" borderId="0" xfId="0" applyFont="1" applyAlignment="1">
      <alignment horizontal="center"/>
    </xf>
    <xf numFmtId="0" fontId="12" fillId="0" borderId="0" xfId="0" applyFont="1"/>
    <xf numFmtId="0" fontId="19" fillId="0" borderId="0" xfId="0" applyFont="1" applyAlignment="1">
      <alignment horizontal="center"/>
    </xf>
    <xf numFmtId="0" fontId="21" fillId="0" borderId="0" xfId="0" applyFont="1" applyAlignment="1">
      <alignment vertical="center" wrapText="1"/>
    </xf>
    <xf numFmtId="0" fontId="2" fillId="0" borderId="13" xfId="0" quotePrefix="1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0" fontId="12" fillId="0" borderId="45" xfId="0" applyFont="1" applyBorder="1" applyAlignment="1">
      <alignment horizontal="center"/>
    </xf>
    <xf numFmtId="0" fontId="2" fillId="0" borderId="0" xfId="0" applyFont="1" applyAlignment="1">
      <alignment horizontal="left" vertical="center"/>
    </xf>
    <xf numFmtId="0" fontId="12" fillId="0" borderId="13" xfId="0" applyFont="1" applyBorder="1" applyAlignment="1">
      <alignment horizontal="left" wrapText="1"/>
    </xf>
    <xf numFmtId="3" fontId="2" fillId="5" borderId="46" xfId="4" applyNumberFormat="1" applyFont="1" applyFill="1" applyBorder="1" applyAlignment="1">
      <alignment horizontal="right" vertical="top"/>
    </xf>
    <xf numFmtId="0" fontId="8" fillId="0" borderId="46" xfId="0" applyFont="1" applyBorder="1" applyAlignment="1">
      <alignment horizontal="left" indent="1"/>
    </xf>
    <xf numFmtId="164" fontId="2" fillId="0" borderId="13" xfId="5" applyNumberFormat="1" applyFont="1" applyFill="1" applyBorder="1" applyAlignment="1">
      <alignment horizontal="right"/>
    </xf>
    <xf numFmtId="0" fontId="12" fillId="0" borderId="13" xfId="0" applyFont="1" applyBorder="1" applyAlignment="1">
      <alignment horizontal="left" wrapText="1" indent="3"/>
    </xf>
    <xf numFmtId="0" fontId="22" fillId="0" borderId="13" xfId="0" applyFont="1" applyBorder="1" applyAlignment="1">
      <alignment horizontal="left" indent="2"/>
    </xf>
    <xf numFmtId="0" fontId="12" fillId="0" borderId="0" xfId="0" applyFont="1" applyAlignment="1">
      <alignment horizontal="left" vertical="center"/>
    </xf>
    <xf numFmtId="0" fontId="12" fillId="0" borderId="13" xfId="0" applyFont="1" applyBorder="1" applyAlignment="1">
      <alignment horizontal="left" indent="2"/>
    </xf>
    <xf numFmtId="0" fontId="1" fillId="0" borderId="13" xfId="0" applyFont="1" applyBorder="1" applyAlignment="1">
      <alignment horizontal="left" wrapText="1" indent="1"/>
    </xf>
    <xf numFmtId="0" fontId="12" fillId="0" borderId="13" xfId="0" applyFont="1" applyBorder="1" applyAlignment="1">
      <alignment horizontal="left" wrapText="1" indent="1"/>
    </xf>
    <xf numFmtId="0" fontId="1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2" fillId="0" borderId="46" xfId="0" applyFont="1" applyBorder="1" applyAlignment="1">
      <alignment horizontal="center" vertical="center" wrapText="1"/>
    </xf>
    <xf numFmtId="0" fontId="2" fillId="0" borderId="39" xfId="0" quotePrefix="1" applyFont="1" applyBorder="1" applyAlignment="1">
      <alignment horizontal="center" vertical="center"/>
    </xf>
    <xf numFmtId="0" fontId="2" fillId="0" borderId="46" xfId="0" applyFont="1" applyBorder="1" applyAlignment="1">
      <alignment horizontal="left"/>
    </xf>
    <xf numFmtId="0" fontId="2" fillId="0" borderId="20" xfId="0" quotePrefix="1" applyFont="1" applyBorder="1" applyAlignment="1">
      <alignment horizontal="center"/>
    </xf>
    <xf numFmtId="164" fontId="2" fillId="0" borderId="20" xfId="5" applyNumberFormat="1" applyFont="1" applyFill="1" applyBorder="1" applyAlignment="1">
      <alignment horizontal="right"/>
    </xf>
    <xf numFmtId="0" fontId="2" fillId="0" borderId="0" xfId="0" quotePrefix="1" applyFont="1"/>
    <xf numFmtId="0" fontId="8" fillId="8" borderId="0" xfId="0" applyFont="1" applyFill="1" applyAlignment="1">
      <alignment vertical="center"/>
    </xf>
    <xf numFmtId="0" fontId="7" fillId="8" borderId="0" xfId="0" applyFont="1" applyFill="1"/>
    <xf numFmtId="0" fontId="8" fillId="9" borderId="0" xfId="0" applyFont="1" applyFill="1" applyAlignment="1">
      <alignment vertical="top" wrapText="1"/>
    </xf>
    <xf numFmtId="0" fontId="2" fillId="9" borderId="0" xfId="0" applyFont="1" applyFill="1"/>
    <xf numFmtId="0" fontId="10" fillId="9" borderId="0" xfId="0" applyFont="1" applyFill="1"/>
    <xf numFmtId="0" fontId="10" fillId="9" borderId="0" xfId="0" applyFont="1" applyFill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2" fillId="0" borderId="0" xfId="0" applyFont="1" applyAlignment="1">
      <alignment horizontal="center" vertical="top" wrapText="1"/>
    </xf>
    <xf numFmtId="0" fontId="15" fillId="9" borderId="0" xfId="0" applyFont="1" applyFill="1" applyAlignment="1">
      <alignment vertical="center"/>
    </xf>
    <xf numFmtId="0" fontId="18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18" fillId="9" borderId="0" xfId="0" applyFont="1" applyFill="1"/>
    <xf numFmtId="0" fontId="9" fillId="0" borderId="0" xfId="0" applyFont="1" applyAlignment="1">
      <alignment horizontal="center" wrapText="1"/>
    </xf>
    <xf numFmtId="0" fontId="20" fillId="0" borderId="0" xfId="0" applyFont="1" applyAlignment="1">
      <alignment horizontal="left" vertical="center"/>
    </xf>
    <xf numFmtId="0" fontId="2" fillId="0" borderId="46" xfId="0" applyFont="1" applyBorder="1" applyAlignment="1">
      <alignment horizontal="center" vertical="top" wrapText="1"/>
    </xf>
    <xf numFmtId="0" fontId="12" fillId="0" borderId="36" xfId="0" applyFont="1" applyFill="1" applyBorder="1" applyAlignment="1">
      <alignment horizontal="center"/>
    </xf>
    <xf numFmtId="0" fontId="12" fillId="0" borderId="36" xfId="0" applyFont="1" applyFill="1" applyBorder="1" applyAlignment="1">
      <alignment horizontal="left"/>
    </xf>
    <xf numFmtId="3" fontId="12" fillId="0" borderId="36" xfId="0" applyNumberFormat="1" applyFont="1" applyFill="1" applyBorder="1" applyAlignment="1">
      <alignment horizontal="right"/>
    </xf>
    <xf numFmtId="3" fontId="12" fillId="0" borderId="45" xfId="0" applyNumberFormat="1" applyFont="1" applyFill="1" applyBorder="1" applyAlignment="1">
      <alignment horizontal="right"/>
    </xf>
    <xf numFmtId="0" fontId="12" fillId="0" borderId="45" xfId="0" applyFont="1" applyFill="1" applyBorder="1" applyAlignment="1">
      <alignment horizontal="center"/>
    </xf>
    <xf numFmtId="1" fontId="2" fillId="0" borderId="46" xfId="5" applyNumberFormat="1" applyFont="1" applyFill="1" applyBorder="1" applyAlignment="1">
      <alignment horizontal="center" vertical="top" wrapText="1"/>
    </xf>
    <xf numFmtId="3" fontId="12" fillId="0" borderId="45" xfId="5" applyNumberFormat="1" applyFont="1" applyFill="1" applyBorder="1" applyAlignment="1">
      <alignment horizontal="right"/>
    </xf>
    <xf numFmtId="0" fontId="12" fillId="0" borderId="45" xfId="5" applyFont="1" applyFill="1" applyBorder="1" applyAlignment="1">
      <alignment horizontal="center"/>
    </xf>
    <xf numFmtId="0" fontId="20" fillId="0" borderId="0" xfId="0" applyFont="1"/>
    <xf numFmtId="0" fontId="2" fillId="0" borderId="46" xfId="0" applyFont="1" applyBorder="1" applyAlignment="1">
      <alignment horizontal="left" vertical="center"/>
    </xf>
    <xf numFmtId="3" fontId="2" fillId="0" borderId="20" xfId="5" applyNumberFormat="1" applyFont="1" applyFill="1" applyBorder="1" applyAlignment="1">
      <alignment horizontal="right" vertical="top" wrapText="1"/>
    </xf>
    <xf numFmtId="3" fontId="2" fillId="0" borderId="20" xfId="5" applyNumberFormat="1" applyFont="1" applyFill="1" applyBorder="1" applyAlignment="1">
      <alignment horizontal="right"/>
    </xf>
    <xf numFmtId="0" fontId="20" fillId="0" borderId="46" xfId="0" applyFont="1" applyBorder="1"/>
    <xf numFmtId="0" fontId="2" fillId="0" borderId="46" xfId="0" applyFont="1" applyBorder="1" applyAlignment="1">
      <alignment horizontal="left" vertical="center" indent="1"/>
    </xf>
    <xf numFmtId="0" fontId="2" fillId="0" borderId="20" xfId="5" applyFont="1" applyFill="1" applyBorder="1" applyAlignment="1">
      <alignment horizontal="center"/>
    </xf>
    <xf numFmtId="0" fontId="2" fillId="0" borderId="46" xfId="0" applyFont="1" applyFill="1" applyBorder="1" applyAlignment="1">
      <alignment horizontal="left" vertical="center" indent="1"/>
    </xf>
    <xf numFmtId="0" fontId="16" fillId="0" borderId="0" xfId="0" applyFont="1" applyAlignment="1">
      <alignment vertical="center"/>
    </xf>
    <xf numFmtId="0" fontId="2" fillId="0" borderId="0" xfId="0" applyFont="1" applyAlignment="1">
      <alignment horizontal="left" vertical="top" wrapText="1"/>
    </xf>
    <xf numFmtId="0" fontId="12" fillId="0" borderId="0" xfId="0" applyFont="1" applyAlignment="1">
      <alignment horizontal="center"/>
    </xf>
    <xf numFmtId="1" fontId="2" fillId="0" borderId="0" xfId="0" applyNumberFormat="1" applyFont="1" applyAlignment="1">
      <alignment horizontal="center" vertical="top" wrapText="1"/>
    </xf>
    <xf numFmtId="0" fontId="8" fillId="9" borderId="0" xfId="0" applyFont="1" applyFill="1"/>
    <xf numFmtId="0" fontId="2" fillId="0" borderId="13" xfId="0" applyFont="1" applyBorder="1" applyAlignment="1">
      <alignment horizontal="left"/>
    </xf>
    <xf numFmtId="0" fontId="2" fillId="0" borderId="13" xfId="0" applyFont="1" applyBorder="1" applyAlignment="1">
      <alignment wrapText="1"/>
    </xf>
    <xf numFmtId="165" fontId="2" fillId="9" borderId="0" xfId="0" applyNumberFormat="1" applyFont="1" applyFill="1"/>
    <xf numFmtId="0" fontId="1" fillId="3" borderId="6" xfId="3" applyFont="1" applyFill="1" applyBorder="1" applyAlignment="1">
      <alignment horizontal="center" vertical="center" wrapText="1"/>
    </xf>
    <xf numFmtId="0" fontId="2" fillId="0" borderId="46" xfId="0" applyFont="1" applyBorder="1" applyAlignment="1">
      <alignment wrapText="1"/>
    </xf>
    <xf numFmtId="0" fontId="27" fillId="0" borderId="0" xfId="0" applyFont="1" applyBorder="1" applyAlignment="1">
      <alignment horizontal="center"/>
    </xf>
    <xf numFmtId="0" fontId="2" fillId="0" borderId="46" xfId="6" quotePrefix="1" applyFont="1" applyBorder="1" applyAlignment="1">
      <alignment horizontal="center" vertical="center" wrapText="1"/>
    </xf>
    <xf numFmtId="0" fontId="2" fillId="0" borderId="0" xfId="0" quotePrefix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Alignment="1">
      <alignment horizontal="left" vertical="center" indent="4"/>
    </xf>
    <xf numFmtId="0" fontId="1" fillId="0" borderId="0" xfId="3" applyFont="1" applyFill="1" applyBorder="1"/>
    <xf numFmtId="0" fontId="2" fillId="0" borderId="24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8" fillId="0" borderId="46" xfId="0" applyFont="1" applyBorder="1" applyAlignment="1">
      <alignment vertical="center"/>
    </xf>
    <xf numFmtId="0" fontId="2" fillId="0" borderId="46" xfId="0" applyFont="1" applyBorder="1" applyAlignment="1">
      <alignment horizontal="center"/>
    </xf>
    <xf numFmtId="0" fontId="2" fillId="0" borderId="46" xfId="0" applyFont="1" applyBorder="1" applyAlignment="1">
      <alignment horizontal="left" indent="1"/>
    </xf>
    <xf numFmtId="3" fontId="2" fillId="0" borderId="46" xfId="5" applyNumberFormat="1" applyFont="1" applyFill="1" applyBorder="1" applyAlignment="1">
      <alignment horizontal="right"/>
    </xf>
    <xf numFmtId="0" fontId="2" fillId="0" borderId="46" xfId="0" applyFont="1" applyBorder="1" applyAlignment="1">
      <alignment horizontal="left" vertical="center" wrapText="1" indent="1"/>
    </xf>
    <xf numFmtId="0" fontId="2" fillId="0" borderId="46" xfId="0" applyFont="1" applyBorder="1" applyAlignment="1">
      <alignment horizontal="left" indent="2"/>
    </xf>
    <xf numFmtId="0" fontId="2" fillId="0" borderId="46" xfId="0" applyFont="1" applyBorder="1" applyAlignment="1">
      <alignment horizontal="left" indent="3"/>
    </xf>
    <xf numFmtId="3" fontId="2" fillId="0" borderId="46" xfId="5" quotePrefix="1" applyNumberFormat="1" applyFont="1" applyFill="1" applyBorder="1" applyAlignment="1">
      <alignment horizontal="right" wrapText="1"/>
    </xf>
    <xf numFmtId="0" fontId="2" fillId="0" borderId="46" xfId="0" applyFont="1" applyBorder="1" applyAlignment="1">
      <alignment horizontal="left" vertical="center" indent="2"/>
    </xf>
    <xf numFmtId="0" fontId="2" fillId="0" borderId="46" xfId="0" applyFont="1" applyBorder="1" applyAlignment="1">
      <alignment horizontal="left" wrapText="1" indent="2"/>
    </xf>
    <xf numFmtId="0" fontId="2" fillId="0" borderId="46" xfId="0" applyFont="1" applyBorder="1" applyAlignment="1">
      <alignment horizontal="left" wrapText="1" indent="1"/>
    </xf>
    <xf numFmtId="0" fontId="8" fillId="0" borderId="46" xfId="0" applyFont="1" applyBorder="1" applyAlignment="1">
      <alignment horizontal="center"/>
    </xf>
    <xf numFmtId="0" fontId="2" fillId="0" borderId="46" xfId="5" applyFont="1" applyFill="1" applyBorder="1" applyAlignment="1">
      <alignment horizontal="right"/>
    </xf>
    <xf numFmtId="0" fontId="8" fillId="0" borderId="46" xfId="0" applyFont="1" applyBorder="1"/>
    <xf numFmtId="0" fontId="8" fillId="0" borderId="46" xfId="0" applyFont="1" applyBorder="1" applyAlignment="1">
      <alignment horizontal="left" wrapText="1"/>
    </xf>
    <xf numFmtId="0" fontId="2" fillId="0" borderId="46" xfId="5" applyFont="1" applyFill="1" applyBorder="1" applyAlignment="1">
      <alignment horizontal="right" wrapText="1"/>
    </xf>
    <xf numFmtId="0" fontId="2" fillId="0" borderId="46" xfId="6" quotePrefix="1" applyFont="1" applyBorder="1" applyAlignment="1">
      <alignment horizontal="center" vertical="center"/>
    </xf>
    <xf numFmtId="3" fontId="2" fillId="0" borderId="46" xfId="5" applyNumberFormat="1" applyFont="1" applyFill="1" applyBorder="1" applyAlignment="1">
      <alignment horizontal="right" vertical="center"/>
    </xf>
    <xf numFmtId="0" fontId="2" fillId="0" borderId="46" xfId="6" applyFont="1" applyBorder="1" applyAlignment="1">
      <alignment horizontal="center" vertical="center"/>
    </xf>
    <xf numFmtId="0" fontId="2" fillId="0" borderId="46" xfId="5" applyFont="1" applyFill="1" applyBorder="1" applyAlignment="1">
      <alignment horizontal="center"/>
    </xf>
    <xf numFmtId="0" fontId="2" fillId="0" borderId="46" xfId="5" applyFont="1" applyFill="1" applyBorder="1"/>
    <xf numFmtId="0" fontId="12" fillId="0" borderId="13" xfId="0" applyFont="1" applyBorder="1" applyAlignment="1">
      <alignment horizontal="left" indent="3"/>
    </xf>
    <xf numFmtId="0" fontId="12" fillId="0" borderId="13" xfId="0" applyFont="1" applyBorder="1" applyAlignment="1">
      <alignment horizontal="left" indent="1"/>
    </xf>
    <xf numFmtId="0" fontId="1" fillId="0" borderId="13" xfId="3" applyFont="1" applyBorder="1"/>
    <xf numFmtId="0" fontId="2" fillId="0" borderId="13" xfId="0" quotePrefix="1" applyFont="1" applyBorder="1" applyAlignment="1">
      <alignment horizontal="center" vertical="center"/>
    </xf>
    <xf numFmtId="164" fontId="2" fillId="0" borderId="13" xfId="5" applyNumberFormat="1" applyFont="1" applyFill="1" applyBorder="1" applyAlignment="1">
      <alignment horizontal="right" vertical="center"/>
    </xf>
    <xf numFmtId="0" fontId="2" fillId="0" borderId="13" xfId="7" applyFont="1" applyBorder="1" applyAlignment="1">
      <alignment horizontal="center" vertical="center" wrapText="1"/>
    </xf>
    <xf numFmtId="3" fontId="2" fillId="0" borderId="13" xfId="0" quotePrefix="1" applyNumberFormat="1" applyFont="1" applyBorder="1" applyAlignment="1">
      <alignment horizontal="center" vertical="center" wrapText="1"/>
    </xf>
    <xf numFmtId="0" fontId="8" fillId="9" borderId="13" xfId="0" applyFont="1" applyFill="1" applyBorder="1" applyAlignment="1">
      <alignment vertical="top" wrapText="1"/>
    </xf>
    <xf numFmtId="0" fontId="2" fillId="0" borderId="13" xfId="0" applyFont="1" applyBorder="1" applyAlignment="1">
      <alignment horizontal="left" vertical="top" wrapText="1" indent="1"/>
    </xf>
    <xf numFmtId="3" fontId="2" fillId="0" borderId="13" xfId="5" applyNumberFormat="1" applyFont="1" applyFill="1" applyBorder="1" applyAlignment="1">
      <alignment horizontal="right" vertical="top" wrapText="1"/>
    </xf>
    <xf numFmtId="0" fontId="2" fillId="0" borderId="13" xfId="5" applyFont="1" applyFill="1" applyBorder="1" applyAlignment="1">
      <alignment horizontal="right" vertical="top" wrapText="1"/>
    </xf>
    <xf numFmtId="0" fontId="2" fillId="9" borderId="13" xfId="0" applyFont="1" applyFill="1" applyBorder="1" applyAlignment="1">
      <alignment horizontal="left" vertical="top" wrapText="1" indent="1"/>
    </xf>
    <xf numFmtId="0" fontId="2" fillId="0" borderId="13" xfId="5" applyFont="1" applyFill="1" applyBorder="1" applyAlignment="1">
      <alignment horizontal="right" vertical="top"/>
    </xf>
    <xf numFmtId="0" fontId="8" fillId="9" borderId="13" xfId="0" applyFont="1" applyFill="1" applyBorder="1" applyAlignment="1">
      <alignment vertical="top"/>
    </xf>
    <xf numFmtId="0" fontId="2" fillId="9" borderId="13" xfId="0" applyFont="1" applyFill="1" applyBorder="1" applyAlignment="1">
      <alignment horizontal="left" vertical="top" indent="1"/>
    </xf>
    <xf numFmtId="9" fontId="2" fillId="0" borderId="13" xfId="1" applyFont="1" applyFill="1" applyBorder="1" applyAlignment="1">
      <alignment horizontal="right" vertical="top" wrapText="1"/>
    </xf>
    <xf numFmtId="3" fontId="2" fillId="0" borderId="13" xfId="5" quotePrefix="1" applyNumberFormat="1" applyFont="1" applyFill="1" applyBorder="1" applyAlignment="1">
      <alignment horizontal="right" vertical="top" wrapText="1"/>
    </xf>
    <xf numFmtId="0" fontId="2" fillId="0" borderId="13" xfId="0" applyFont="1" applyBorder="1" applyAlignment="1">
      <alignment horizontal="left" vertical="top" indent="1"/>
    </xf>
    <xf numFmtId="0" fontId="8" fillId="9" borderId="13" xfId="0" applyFont="1" applyFill="1" applyBorder="1" applyAlignment="1">
      <alignment horizontal="left" vertical="top"/>
    </xf>
    <xf numFmtId="3" fontId="24" fillId="0" borderId="13" xfId="0" quotePrefix="1" applyNumberFormat="1" applyFont="1" applyBorder="1" applyAlignment="1">
      <alignment horizontal="center" vertical="center" wrapText="1"/>
    </xf>
    <xf numFmtId="3" fontId="24" fillId="0" borderId="13" xfId="5" quotePrefix="1" applyNumberFormat="1" applyFont="1" applyFill="1" applyBorder="1" applyAlignment="1">
      <alignment horizontal="right" vertical="top" wrapText="1"/>
    </xf>
    <xf numFmtId="3" fontId="24" fillId="0" borderId="13" xfId="5" applyNumberFormat="1" applyFont="1" applyFill="1" applyBorder="1" applyAlignment="1">
      <alignment horizontal="right" vertical="top" wrapText="1"/>
    </xf>
    <xf numFmtId="0" fontId="2" fillId="9" borderId="13" xfId="0" applyFont="1" applyFill="1" applyBorder="1" applyAlignment="1">
      <alignment horizontal="center" vertical="top" wrapText="1"/>
    </xf>
    <xf numFmtId="0" fontId="2" fillId="0" borderId="46" xfId="0" applyFont="1" applyBorder="1"/>
    <xf numFmtId="3" fontId="1" fillId="0" borderId="46" xfId="5" applyNumberFormat="1" applyFont="1" applyFill="1" applyBorder="1" applyAlignment="1">
      <alignment horizontal="right" vertical="center"/>
    </xf>
    <xf numFmtId="0" fontId="2" fillId="9" borderId="46" xfId="0" applyFont="1" applyFill="1" applyBorder="1" applyAlignment="1">
      <alignment horizontal="left"/>
    </xf>
    <xf numFmtId="0" fontId="2" fillId="9" borderId="46" xfId="0" applyFont="1" applyFill="1" applyBorder="1" applyAlignment="1">
      <alignment horizontal="left" wrapText="1"/>
    </xf>
    <xf numFmtId="0" fontId="2" fillId="0" borderId="46" xfId="6" applyFont="1" applyBorder="1" applyAlignment="1">
      <alignment horizontal="center" vertical="center" wrapText="1"/>
    </xf>
    <xf numFmtId="0" fontId="1" fillId="0" borderId="46" xfId="5" applyFont="1" applyFill="1" applyBorder="1" applyAlignment="1">
      <alignment horizontal="center" vertical="center"/>
    </xf>
    <xf numFmtId="0" fontId="8" fillId="9" borderId="46" xfId="0" applyFont="1" applyFill="1" applyBorder="1"/>
    <xf numFmtId="0" fontId="2" fillId="0" borderId="36" xfId="6" applyFont="1" applyBorder="1" applyAlignment="1">
      <alignment horizontal="center" vertical="center" wrapText="1"/>
    </xf>
    <xf numFmtId="0" fontId="2" fillId="0" borderId="37" xfId="6" applyFont="1" applyBorder="1" applyAlignment="1">
      <alignment horizontal="center" vertical="center" wrapText="1"/>
    </xf>
    <xf numFmtId="0" fontId="2" fillId="0" borderId="20" xfId="6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0" fontId="8" fillId="0" borderId="43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 wrapText="1"/>
    </xf>
    <xf numFmtId="0" fontId="2" fillId="0" borderId="44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2" fillId="0" borderId="36" xfId="0" applyFont="1" applyBorder="1" applyAlignment="1">
      <alignment horizontal="center" vertical="center" wrapText="1"/>
    </xf>
    <xf numFmtId="0" fontId="20" fillId="0" borderId="24" xfId="0" applyFont="1" applyBorder="1" applyAlignment="1">
      <alignment horizontal="center" vertical="center" wrapText="1"/>
    </xf>
    <xf numFmtId="0" fontId="20" fillId="0" borderId="39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</cellXfs>
  <cellStyles count="8">
    <cellStyle name="DPM_CellCode" xfId="5" xr:uid="{3F421837-E7D7-4B26-861B-F5EA3A116291}"/>
    <cellStyle name="DPM_EmptyCell" xfId="4" xr:uid="{DE84FB61-B434-4024-AF67-3E5F05DFFD53}"/>
    <cellStyle name="Hyperlink" xfId="2" builtinId="8"/>
    <cellStyle name="Normal" xfId="0" builtinId="0"/>
    <cellStyle name="Normalny 13" xfId="7" xr:uid="{03AE3CEB-E2D3-4864-9AEB-7786D4012706}"/>
    <cellStyle name="Normalny 2" xfId="6" xr:uid="{34BFBAD2-C073-4883-86F4-0EFB2D601BC0}"/>
    <cellStyle name="Normalny 4" xfId="3" xr:uid="{F035818F-0F72-4901-B6EB-C78F93B2795A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547CC7-31A4-42B8-BBE0-328F2BD043CA}">
  <sheetPr filterMode="1"/>
  <dimension ref="A1:V120"/>
  <sheetViews>
    <sheetView showGridLines="0" tabSelected="1" topLeftCell="A3" zoomScale="80" zoomScaleNormal="80" workbookViewId="0">
      <selection activeCell="A3" sqref="A3"/>
    </sheetView>
  </sheetViews>
  <sheetFormatPr defaultColWidth="10" defaultRowHeight="14.5" x14ac:dyDescent="0.35"/>
  <cols>
    <col min="1" max="1" width="26" customWidth="1"/>
    <col min="2" max="2" width="113.54296875" customWidth="1"/>
    <col min="3" max="19" width="15.81640625" hidden="1" customWidth="1"/>
    <col min="20" max="20" width="15.81640625" customWidth="1"/>
    <col min="21" max="21" width="15.81640625" hidden="1" customWidth="1"/>
    <col min="22" max="22" width="69.7265625" hidden="1" customWidth="1"/>
  </cols>
  <sheetData>
    <row r="1" spans="1:22" hidden="1" x14ac:dyDescent="0.35">
      <c r="A1" s="1" t="s">
        <v>318</v>
      </c>
      <c r="B1" s="2"/>
      <c r="C1" s="3" t="s">
        <v>319</v>
      </c>
      <c r="D1" s="3" t="s">
        <v>320</v>
      </c>
      <c r="E1" s="3" t="s">
        <v>321</v>
      </c>
      <c r="F1" s="3" t="s">
        <v>322</v>
      </c>
      <c r="G1" s="3" t="s">
        <v>323</v>
      </c>
      <c r="H1" s="3" t="s">
        <v>324</v>
      </c>
      <c r="I1" s="3" t="s">
        <v>325</v>
      </c>
      <c r="J1" s="3" t="s">
        <v>326</v>
      </c>
      <c r="K1" s="3" t="s">
        <v>327</v>
      </c>
      <c r="L1" s="3" t="s">
        <v>328</v>
      </c>
      <c r="M1" s="3" t="s">
        <v>329</v>
      </c>
      <c r="N1" s="3" t="s">
        <v>330</v>
      </c>
      <c r="O1" s="3" t="s">
        <v>331</v>
      </c>
      <c r="P1" s="3" t="s">
        <v>332</v>
      </c>
      <c r="Q1" s="3" t="s">
        <v>333</v>
      </c>
      <c r="R1" s="3" t="s">
        <v>334</v>
      </c>
      <c r="S1" s="3" t="s">
        <v>335</v>
      </c>
      <c r="T1" s="3" t="s">
        <v>336</v>
      </c>
      <c r="U1" s="3" t="s">
        <v>337</v>
      </c>
      <c r="V1" s="4" t="s">
        <v>338</v>
      </c>
    </row>
    <row r="2" spans="1:22" ht="15" hidden="1" thickBot="1" x14ac:dyDescent="0.4">
      <c r="A2" s="1" t="s">
        <v>339</v>
      </c>
      <c r="B2" s="2"/>
      <c r="C2" s="1" t="s">
        <v>340</v>
      </c>
      <c r="D2" s="1" t="s">
        <v>341</v>
      </c>
      <c r="E2" s="1" t="s">
        <v>342</v>
      </c>
      <c r="F2" s="1" t="s">
        <v>343</v>
      </c>
      <c r="G2" s="1" t="s">
        <v>344</v>
      </c>
      <c r="H2" s="1" t="s">
        <v>345</v>
      </c>
      <c r="I2" s="1" t="s">
        <v>346</v>
      </c>
      <c r="J2" s="1" t="s">
        <v>347</v>
      </c>
      <c r="K2" s="1" t="s">
        <v>348</v>
      </c>
      <c r="L2" s="1" t="s">
        <v>349</v>
      </c>
      <c r="M2" s="1" t="s">
        <v>350</v>
      </c>
      <c r="N2" s="1" t="s">
        <v>351</v>
      </c>
      <c r="O2" s="1" t="s">
        <v>352</v>
      </c>
      <c r="P2" s="1" t="s">
        <v>353</v>
      </c>
      <c r="Q2" s="1" t="s">
        <v>354</v>
      </c>
      <c r="R2" s="1" t="s">
        <v>355</v>
      </c>
      <c r="S2" s="1" t="s">
        <v>356</v>
      </c>
      <c r="T2" s="1" t="s">
        <v>357</v>
      </c>
      <c r="U2" s="1" t="s">
        <v>358</v>
      </c>
      <c r="V2" s="5" t="s">
        <v>359</v>
      </c>
    </row>
    <row r="3" spans="1:22" s="5" customFormat="1" ht="58.5" thickBot="1" x14ac:dyDescent="0.4">
      <c r="C3" s="6" t="s">
        <v>360</v>
      </c>
      <c r="D3" s="7" t="s">
        <v>361</v>
      </c>
      <c r="E3" s="7" t="s">
        <v>362</v>
      </c>
      <c r="F3" s="8" t="s">
        <v>363</v>
      </c>
      <c r="G3" s="9" t="s">
        <v>364</v>
      </c>
      <c r="H3" s="8" t="s">
        <v>365</v>
      </c>
      <c r="I3" s="7" t="s">
        <v>366</v>
      </c>
      <c r="J3" s="7" t="s">
        <v>367</v>
      </c>
      <c r="K3" s="7" t="s">
        <v>368</v>
      </c>
      <c r="L3" s="7" t="s">
        <v>369</v>
      </c>
      <c r="M3" s="7" t="s">
        <v>370</v>
      </c>
      <c r="N3" s="8" t="s">
        <v>371</v>
      </c>
      <c r="O3" s="10" t="s">
        <v>372</v>
      </c>
      <c r="P3" s="10" t="s">
        <v>373</v>
      </c>
      <c r="Q3" s="10" t="s">
        <v>374</v>
      </c>
      <c r="R3" s="11" t="s">
        <v>375</v>
      </c>
      <c r="S3" s="12" t="s">
        <v>376</v>
      </c>
      <c r="U3" s="12" t="s">
        <v>377</v>
      </c>
      <c r="V3" s="12" t="s">
        <v>378</v>
      </c>
    </row>
    <row r="4" spans="1:22" s="16" customFormat="1" ht="75" customHeight="1" thickBot="1" x14ac:dyDescent="0.4">
      <c r="A4" s="211" t="s">
        <v>379</v>
      </c>
      <c r="B4" s="9" t="s">
        <v>380</v>
      </c>
      <c r="C4" s="13" t="s">
        <v>381</v>
      </c>
      <c r="D4" s="14" t="s">
        <v>382</v>
      </c>
      <c r="E4" s="14" t="s">
        <v>383</v>
      </c>
      <c r="F4" s="15" t="s">
        <v>384</v>
      </c>
      <c r="G4" s="13" t="s">
        <v>385</v>
      </c>
      <c r="H4" s="15" t="s">
        <v>386</v>
      </c>
      <c r="I4" s="14" t="s">
        <v>387</v>
      </c>
      <c r="J4" s="14" t="s">
        <v>388</v>
      </c>
      <c r="K4" s="14" t="s">
        <v>389</v>
      </c>
      <c r="L4" s="14" t="s">
        <v>390</v>
      </c>
      <c r="M4" s="14" t="s">
        <v>391</v>
      </c>
      <c r="N4" s="15" t="s">
        <v>392</v>
      </c>
      <c r="O4" s="14" t="s">
        <v>393</v>
      </c>
      <c r="P4" s="14" t="s">
        <v>394</v>
      </c>
      <c r="Q4" s="14" t="s">
        <v>395</v>
      </c>
      <c r="R4" s="15" t="s">
        <v>396</v>
      </c>
      <c r="S4" s="13" t="s">
        <v>335</v>
      </c>
      <c r="T4" s="12" t="s">
        <v>397</v>
      </c>
      <c r="U4" s="15"/>
      <c r="V4" s="15" t="s">
        <v>398</v>
      </c>
    </row>
    <row r="5" spans="1:22" ht="29" hidden="1" x14ac:dyDescent="0.35">
      <c r="A5" s="17" t="s">
        <v>399</v>
      </c>
      <c r="B5" s="18" t="s">
        <v>400</v>
      </c>
      <c r="C5" s="19" t="str">
        <f>HYPERLINK("#S.01.01.01!$A$1", "S.01.01.01")</f>
        <v>S.01.01.01</v>
      </c>
      <c r="D5" s="20" t="str">
        <f>HYPERLINK("#S.01.01.02!$A$1", "S.01.01.02")</f>
        <v>S.01.01.02</v>
      </c>
      <c r="E5" s="20" t="str">
        <f>HYPERLINK("#S.01.01.04!$A$1", "S.01.01.04")</f>
        <v>S.01.01.04</v>
      </c>
      <c r="F5" s="21" t="str">
        <f>HYPERLINK("#S.01.01.05!$A$1", "S.01.01.05")</f>
        <v>S.01.01.05</v>
      </c>
      <c r="G5" s="19" t="str">
        <f>HYPERLINK("#S.01.01.07!$A$1", "S.01.01.07")</f>
        <v>S.01.01.07</v>
      </c>
      <c r="H5" s="21" t="str">
        <f>HYPERLINK("#S.01.01.08!$o$1", "S.01.01.08")</f>
        <v>S.01.01.08</v>
      </c>
      <c r="I5" s="22" t="str">
        <f>HYPERLINK("#S.01.01.10!$A$1", "S.01.01.10")</f>
        <v>S.01.01.10</v>
      </c>
      <c r="J5" s="20" t="str">
        <f>HYPERLINK("#S.01.01.11!$A$1", "S.01.01.11")</f>
        <v>S.01.01.11</v>
      </c>
      <c r="K5" s="20" t="str">
        <f>HYPERLINK("#S.01.01.12!$A$1", "S.01.01.12")</f>
        <v>S.01.01.12</v>
      </c>
      <c r="L5" s="23" t="str">
        <f>HYPERLINK("#S.01.01.13!$A$1", "S.01.01.13")</f>
        <v>S.01.01.13</v>
      </c>
      <c r="M5" s="22" t="str">
        <f>HYPERLINK("#S.01.01.14!$A$1", "S.01.01.14")</f>
        <v>S.01.01.14</v>
      </c>
      <c r="N5" s="24" t="str">
        <f>HYPERLINK("#S.01.01.15!$A$1", "S.01.01.15")</f>
        <v>S.01.01.15</v>
      </c>
      <c r="O5" s="20" t="s">
        <v>401</v>
      </c>
      <c r="P5" s="20" t="s">
        <v>401</v>
      </c>
      <c r="Q5" s="20" t="s">
        <v>401</v>
      </c>
      <c r="R5" s="20" t="s">
        <v>401</v>
      </c>
      <c r="S5" s="25" t="s">
        <v>401</v>
      </c>
      <c r="T5" s="19" t="s">
        <v>401</v>
      </c>
      <c r="U5" s="21" t="s">
        <v>401</v>
      </c>
      <c r="V5" s="26" t="s">
        <v>402</v>
      </c>
    </row>
    <row r="6" spans="1:22" hidden="1" x14ac:dyDescent="0.35">
      <c r="A6" s="27" t="s">
        <v>403</v>
      </c>
      <c r="B6" s="28" t="s">
        <v>404</v>
      </c>
      <c r="C6" s="29" t="str">
        <f>HYPERLINK("#S.01.02.01!$A$1", "S.01.02.01")</f>
        <v>S.01.02.01</v>
      </c>
      <c r="D6" s="30" t="str">
        <f>HYPERLINK("#S.01.02.01!$A$1", "S.01.02.01")</f>
        <v>S.01.02.01</v>
      </c>
      <c r="E6" s="30" t="str">
        <f>HYPERLINK("#S.01.02.04!$A$1", "S.01.02.04")</f>
        <v>S.01.02.04</v>
      </c>
      <c r="F6" s="31" t="str">
        <f>HYPERLINK("#S.01.02.04!$A$1", "S.01.02.04")</f>
        <v>S.01.02.04</v>
      </c>
      <c r="G6" s="29" t="str">
        <f>HYPERLINK("#S.01.02.07!$A$1", "S.01.02.07")</f>
        <v>S.01.02.07</v>
      </c>
      <c r="H6" s="31" t="str">
        <f>HYPERLINK("#S.01.02.07!$o$1", "S.01.02.07")</f>
        <v>S.01.02.07</v>
      </c>
      <c r="I6" s="32" t="str">
        <f>HYPERLINK("#S.01.02.01!$A$1", "S.01.02.01")</f>
        <v>S.01.02.01</v>
      </c>
      <c r="J6" s="32" t="str">
        <f>HYPERLINK("#S.01.02.01!$A$1", "S.01.02.01")</f>
        <v>S.01.02.01</v>
      </c>
      <c r="K6" s="30" t="str">
        <f>HYPERLINK("#S.01.02.04!$A$1", "S.01.02.04")</f>
        <v>S.01.02.04</v>
      </c>
      <c r="L6" s="30" t="str">
        <f>HYPERLINK("#S.01.02.04!$A$1", "S.01.02.04")</f>
        <v>S.01.02.04</v>
      </c>
      <c r="M6" s="30" t="str">
        <f>HYPERLINK("#S.01.02.07!$o$1", "S.01.02.07")</f>
        <v>S.01.02.07</v>
      </c>
      <c r="N6" s="31" t="str">
        <f>HYPERLINK("#S.01.02.07!$o$1", "S.01.02.07")</f>
        <v>S.01.02.07</v>
      </c>
      <c r="O6" s="29" t="str">
        <f>HYPERLINK("#S.01.02.01!$A$1", "S.01.02.01")</f>
        <v>S.01.02.01</v>
      </c>
      <c r="P6" s="30" t="str">
        <f>HYPERLINK("#S.01.02.01!$A$1", "S.01.02.01")</f>
        <v>S.01.02.01</v>
      </c>
      <c r="Q6" s="32" t="str">
        <f>HYPERLINK("#S.01.02.07!$A$1", "S.01.02.07")</f>
        <v>S.01.02.07</v>
      </c>
      <c r="R6" s="30" t="str">
        <f>HYPERLINK("#S.01.02.07!$o$1", "S.01.02.07")</f>
        <v>S.01.02.07</v>
      </c>
      <c r="S6" s="33" t="s">
        <v>401</v>
      </c>
      <c r="T6" s="34" t="s">
        <v>401</v>
      </c>
      <c r="U6" s="24" t="s">
        <v>401</v>
      </c>
      <c r="V6" s="35" t="s">
        <v>405</v>
      </c>
    </row>
    <row r="7" spans="1:22" hidden="1" x14ac:dyDescent="0.35">
      <c r="A7" s="27" t="s">
        <v>406</v>
      </c>
      <c r="B7" s="28" t="s">
        <v>407</v>
      </c>
      <c r="C7" s="34" t="str">
        <f>HYPERLINK("#S.01.03.01!$A$1", "S.01.03.01")</f>
        <v>S.01.03.01</v>
      </c>
      <c r="D7" s="23" t="s">
        <v>401</v>
      </c>
      <c r="E7" s="23" t="str">
        <f>HYPERLINK("#S.01.03.04!$A$1", "S.01.03.04")</f>
        <v>S.01.03.04</v>
      </c>
      <c r="F7" s="24" t="s">
        <v>401</v>
      </c>
      <c r="G7" s="34" t="str">
        <f>HYPERLINK("#S.01.03.01!$A$1", "S.01.03.01")</f>
        <v>S.01.03.01</v>
      </c>
      <c r="H7" s="24" t="s">
        <v>401</v>
      </c>
      <c r="I7" s="36" t="s">
        <v>401</v>
      </c>
      <c r="J7" s="23" t="s">
        <v>401</v>
      </c>
      <c r="K7" s="23" t="s">
        <v>401</v>
      </c>
      <c r="L7" s="23" t="s">
        <v>401</v>
      </c>
      <c r="M7" s="23" t="s">
        <v>401</v>
      </c>
      <c r="N7" s="24" t="s">
        <v>401</v>
      </c>
      <c r="O7" s="34" t="str">
        <f>HYPERLINK("#S.01.03.01!$A$1", "S.01.03.01")</f>
        <v>S.01.03.01</v>
      </c>
      <c r="P7" s="23" t="s">
        <v>401</v>
      </c>
      <c r="Q7" s="36" t="str">
        <f>HYPERLINK("#S.01.03.01!$A$1", "S.01.03.01")</f>
        <v>S.01.03.01</v>
      </c>
      <c r="R7" s="23" t="s">
        <v>401</v>
      </c>
      <c r="S7" s="33" t="s">
        <v>401</v>
      </c>
      <c r="T7" s="34" t="s">
        <v>401</v>
      </c>
      <c r="U7" s="24" t="s">
        <v>401</v>
      </c>
      <c r="V7" s="35" t="s">
        <v>408</v>
      </c>
    </row>
    <row r="8" spans="1:22" x14ac:dyDescent="0.35">
      <c r="A8" s="250" t="s">
        <v>409</v>
      </c>
      <c r="B8" s="250" t="s">
        <v>1</v>
      </c>
      <c r="C8" s="36" t="str">
        <f>HYPERLINK("#S.02.01.01!$A$1", "S.02.01.01")</f>
        <v>S.02.01.01</v>
      </c>
      <c r="D8" s="23" t="str">
        <f>HYPERLINK("#S.02.01.02!$A$1", "S.02.01.02")</f>
        <v>S.02.01.02</v>
      </c>
      <c r="E8" s="34" t="str">
        <f>HYPERLINK("#S.02.01.01!$A$1", "S.02.01.01")</f>
        <v>S.02.01.01</v>
      </c>
      <c r="F8" s="24" t="str">
        <f>HYPERLINK("#S.02.01.02!$A$1", "S.02.01.02")</f>
        <v>S.02.01.02</v>
      </c>
      <c r="G8" s="34" t="str">
        <f>HYPERLINK("#S.02.01.07!$A$1", "S.02.01.07")</f>
        <v>S.02.01.07</v>
      </c>
      <c r="H8" s="24" t="str">
        <f>HYPERLINK("#S.02.01.08!$o$1", "S.02.01.08")</f>
        <v>S.02.01.08</v>
      </c>
      <c r="I8" s="36" t="s">
        <v>401</v>
      </c>
      <c r="J8" s="23" t="s">
        <v>401</v>
      </c>
      <c r="K8" s="23" t="s">
        <v>401</v>
      </c>
      <c r="L8" s="23" t="str">
        <f>HYPERLINK("#S.02.01.02!$o$1", "S.02.01.02")</f>
        <v>S.02.01.02</v>
      </c>
      <c r="M8" s="23" t="s">
        <v>401</v>
      </c>
      <c r="N8" s="24" t="s">
        <v>401</v>
      </c>
      <c r="O8" s="23" t="s">
        <v>401</v>
      </c>
      <c r="P8" s="23" t="s">
        <v>401</v>
      </c>
      <c r="Q8" s="23" t="s">
        <v>401</v>
      </c>
      <c r="R8" s="23" t="s">
        <v>401</v>
      </c>
      <c r="S8" s="33" t="s">
        <v>401</v>
      </c>
      <c r="T8" s="34" t="str">
        <f>HYPERLINK("#S.02.01.02!$A$1", "S.02.01.02")</f>
        <v>S.02.01.02</v>
      </c>
      <c r="U8" s="24" t="str">
        <f>HYPERLINK("#S.02.01.02!$A$1", "S.02.01.02")</f>
        <v>S.02.01.02</v>
      </c>
      <c r="V8" s="35" t="s">
        <v>410</v>
      </c>
    </row>
    <row r="9" spans="1:22" hidden="1" x14ac:dyDescent="0.35">
      <c r="A9" s="27" t="s">
        <v>411</v>
      </c>
      <c r="B9" s="28" t="s">
        <v>412</v>
      </c>
      <c r="C9" s="34" t="str">
        <f>HYPERLINK("#S.02.02.01!$A$1", "S.02.02.01")</f>
        <v>S.02.02.01</v>
      </c>
      <c r="D9" s="23" t="s">
        <v>401</v>
      </c>
      <c r="E9" s="23" t="str">
        <f>HYPERLINK("#S.02.02.01!$A$1", "S.02.02.01")</f>
        <v>S.02.02.01</v>
      </c>
      <c r="F9" s="24" t="s">
        <v>401</v>
      </c>
      <c r="G9" s="34" t="str">
        <f>HYPERLINK("#S.02.02.01!$A$1", "S.02.02.01")</f>
        <v>S.02.02.01</v>
      </c>
      <c r="H9" s="24" t="s">
        <v>401</v>
      </c>
      <c r="I9" s="36" t="s">
        <v>401</v>
      </c>
      <c r="J9" s="23" t="s">
        <v>401</v>
      </c>
      <c r="K9" s="23" t="s">
        <v>401</v>
      </c>
      <c r="L9" s="23" t="s">
        <v>401</v>
      </c>
      <c r="M9" s="23" t="s">
        <v>401</v>
      </c>
      <c r="N9" s="24" t="s">
        <v>401</v>
      </c>
      <c r="O9" s="34" t="str">
        <f>HYPERLINK("#S.02.02.01!$A$1", "S.02.02.01")</f>
        <v>S.02.02.01</v>
      </c>
      <c r="P9" s="23" t="s">
        <v>401</v>
      </c>
      <c r="Q9" s="36" t="str">
        <f>HYPERLINK("#S.02.02.01!$A$1", "S.02.02.01")</f>
        <v>S.02.02.01</v>
      </c>
      <c r="R9" s="23" t="s">
        <v>401</v>
      </c>
      <c r="S9" s="33" t="s">
        <v>401</v>
      </c>
      <c r="T9" s="34" t="s">
        <v>401</v>
      </c>
      <c r="U9" s="24" t="s">
        <v>401</v>
      </c>
      <c r="V9" s="35" t="s">
        <v>413</v>
      </c>
    </row>
    <row r="10" spans="1:22" hidden="1" x14ac:dyDescent="0.35">
      <c r="A10" s="27" t="s">
        <v>414</v>
      </c>
      <c r="B10" s="28" t="s">
        <v>415</v>
      </c>
      <c r="C10" s="34" t="s">
        <v>401</v>
      </c>
      <c r="D10" s="23" t="s">
        <v>401</v>
      </c>
      <c r="E10" s="23" t="s">
        <v>401</v>
      </c>
      <c r="F10" s="24" t="s">
        <v>401</v>
      </c>
      <c r="G10" s="34" t="str">
        <f>HYPERLINK("#S.02.03.07!$A$1", "S.02.03.07")</f>
        <v>S.02.03.07</v>
      </c>
      <c r="H10" s="24" t="s">
        <v>401</v>
      </c>
      <c r="I10" s="36" t="s">
        <v>401</v>
      </c>
      <c r="J10" s="23" t="s">
        <v>401</v>
      </c>
      <c r="K10" s="23" t="s">
        <v>401</v>
      </c>
      <c r="L10" s="23" t="s">
        <v>401</v>
      </c>
      <c r="M10" s="23" t="s">
        <v>401</v>
      </c>
      <c r="N10" s="24" t="s">
        <v>401</v>
      </c>
      <c r="O10" s="34" t="s">
        <v>401</v>
      </c>
      <c r="P10" s="23" t="s">
        <v>401</v>
      </c>
      <c r="Q10" s="36" t="str">
        <f>HYPERLINK("#S.02.03.07!$A$1", "S.02.03.07")</f>
        <v>S.02.03.07</v>
      </c>
      <c r="R10" s="23" t="s">
        <v>401</v>
      </c>
      <c r="S10" s="33" t="s">
        <v>401</v>
      </c>
      <c r="T10" s="34" t="s">
        <v>401</v>
      </c>
      <c r="U10" s="24" t="s">
        <v>401</v>
      </c>
      <c r="V10" s="35" t="s">
        <v>416</v>
      </c>
    </row>
    <row r="11" spans="1:22" hidden="1" x14ac:dyDescent="0.35">
      <c r="A11" s="27" t="s">
        <v>417</v>
      </c>
      <c r="B11" s="28" t="s">
        <v>418</v>
      </c>
      <c r="C11" s="34" t="str">
        <f>HYPERLINK("#S.03.01.01!$A$1", "S.03.01.01")</f>
        <v>S.03.01.01</v>
      </c>
      <c r="D11" s="23" t="s">
        <v>401</v>
      </c>
      <c r="E11" s="23" t="str">
        <f>HYPERLINK("#S.03.01.04!$A$1", "S.03.01.04")</f>
        <v>S.03.01.04</v>
      </c>
      <c r="F11" s="24" t="s">
        <v>401</v>
      </c>
      <c r="G11" s="34" t="str">
        <f>HYPERLINK("#S.03.01.01!$A$1", "S.03.01.01")</f>
        <v>S.03.01.01</v>
      </c>
      <c r="H11" s="24" t="s">
        <v>401</v>
      </c>
      <c r="I11" s="36" t="s">
        <v>401</v>
      </c>
      <c r="J11" s="23" t="s">
        <v>401</v>
      </c>
      <c r="K11" s="23" t="s">
        <v>401</v>
      </c>
      <c r="L11" s="23" t="s">
        <v>401</v>
      </c>
      <c r="M11" s="23" t="s">
        <v>401</v>
      </c>
      <c r="N11" s="24" t="s">
        <v>401</v>
      </c>
      <c r="O11" s="34" t="str">
        <f>HYPERLINK("#S.03.01.01!$A$1", "S.03.01.01")</f>
        <v>S.03.01.01</v>
      </c>
      <c r="P11" s="23" t="s">
        <v>401</v>
      </c>
      <c r="Q11" s="36" t="str">
        <f>HYPERLINK("#S.03.01.01!$A$1", "S.03.01.01")</f>
        <v>S.03.01.01</v>
      </c>
      <c r="R11" s="23" t="s">
        <v>401</v>
      </c>
      <c r="S11" s="33" t="s">
        <v>401</v>
      </c>
      <c r="T11" s="34" t="s">
        <v>401</v>
      </c>
      <c r="U11" s="24" t="s">
        <v>401</v>
      </c>
      <c r="V11" s="35" t="s">
        <v>419</v>
      </c>
    </row>
    <row r="12" spans="1:22" hidden="1" x14ac:dyDescent="0.35">
      <c r="A12" s="27" t="s">
        <v>420</v>
      </c>
      <c r="B12" s="28" t="s">
        <v>421</v>
      </c>
      <c r="C12" s="34" t="str">
        <f>HYPERLINK("#S.03.02.01!$A$1", "S.03.02.01")</f>
        <v>S.03.02.01</v>
      </c>
      <c r="D12" s="23" t="s">
        <v>401</v>
      </c>
      <c r="E12" s="23" t="str">
        <f>HYPERLINK("#S.03.02.04!$A$1", "S.03.02.04")</f>
        <v>S.03.02.04</v>
      </c>
      <c r="F12" s="24" t="s">
        <v>401</v>
      </c>
      <c r="G12" s="34" t="str">
        <f>HYPERLINK("#S.03.02.01!$A$1", "S.03.02.01")</f>
        <v>S.03.02.01</v>
      </c>
      <c r="H12" s="24" t="s">
        <v>401</v>
      </c>
      <c r="I12" s="36" t="s">
        <v>401</v>
      </c>
      <c r="J12" s="23" t="s">
        <v>401</v>
      </c>
      <c r="K12" s="23" t="s">
        <v>401</v>
      </c>
      <c r="L12" s="23" t="s">
        <v>401</v>
      </c>
      <c r="M12" s="23" t="s">
        <v>401</v>
      </c>
      <c r="N12" s="24" t="s">
        <v>401</v>
      </c>
      <c r="O12" s="34" t="str">
        <f>HYPERLINK("#S.03.02.01!$A$1", "S.03.02.01")</f>
        <v>S.03.02.01</v>
      </c>
      <c r="P12" s="23" t="s">
        <v>401</v>
      </c>
      <c r="Q12" s="36" t="str">
        <f>HYPERLINK("#S.03.02.01!$A$1", "S.03.02.01")</f>
        <v>S.03.02.01</v>
      </c>
      <c r="R12" s="23" t="s">
        <v>401</v>
      </c>
      <c r="S12" s="33" t="s">
        <v>401</v>
      </c>
      <c r="T12" s="34" t="s">
        <v>401</v>
      </c>
      <c r="U12" s="24" t="s">
        <v>401</v>
      </c>
      <c r="V12" s="35" t="s">
        <v>422</v>
      </c>
    </row>
    <row r="13" spans="1:22" hidden="1" x14ac:dyDescent="0.35">
      <c r="A13" s="27" t="s">
        <v>423</v>
      </c>
      <c r="B13" s="28" t="s">
        <v>424</v>
      </c>
      <c r="C13" s="34" t="str">
        <f>HYPERLINK("#S.03.03.01!$A$1", "S.03.03.01")</f>
        <v>S.03.03.01</v>
      </c>
      <c r="D13" s="23" t="s">
        <v>401</v>
      </c>
      <c r="E13" s="23" t="str">
        <f>HYPERLINK("#S.03.03.04!$A$1", "S.03.03.04")</f>
        <v>S.03.03.04</v>
      </c>
      <c r="F13" s="24" t="s">
        <v>401</v>
      </c>
      <c r="G13" s="34" t="str">
        <f>HYPERLINK("#S.03.03.01!$A$1", "S.03.03.01")</f>
        <v>S.03.03.01</v>
      </c>
      <c r="H13" s="24" t="s">
        <v>401</v>
      </c>
      <c r="I13" s="36" t="s">
        <v>401</v>
      </c>
      <c r="J13" s="23" t="s">
        <v>401</v>
      </c>
      <c r="K13" s="23" t="s">
        <v>401</v>
      </c>
      <c r="L13" s="23" t="s">
        <v>401</v>
      </c>
      <c r="M13" s="23" t="s">
        <v>401</v>
      </c>
      <c r="N13" s="24" t="s">
        <v>401</v>
      </c>
      <c r="O13" s="34" t="str">
        <f>HYPERLINK("#S.03.03.01!$A$1", "S.03.03.01")</f>
        <v>S.03.03.01</v>
      </c>
      <c r="P13" s="23" t="s">
        <v>401</v>
      </c>
      <c r="Q13" s="36" t="str">
        <f>HYPERLINK("#S.03.03.01!$A$1", "S.03.03.01")</f>
        <v>S.03.03.01</v>
      </c>
      <c r="R13" s="23" t="s">
        <v>401</v>
      </c>
      <c r="S13" s="33" t="s">
        <v>401</v>
      </c>
      <c r="T13" s="34" t="s">
        <v>401</v>
      </c>
      <c r="U13" s="24" t="s">
        <v>401</v>
      </c>
      <c r="V13" s="35" t="s">
        <v>425</v>
      </c>
    </row>
    <row r="14" spans="1:22" hidden="1" x14ac:dyDescent="0.35">
      <c r="A14" s="27" t="s">
        <v>426</v>
      </c>
      <c r="B14" s="28" t="s">
        <v>427</v>
      </c>
      <c r="C14" s="34" t="str">
        <f>HYPERLINK("#S.04.01.01!$A$1", "S.04.01.01")</f>
        <v>S.04.01.01</v>
      </c>
      <c r="D14" s="23" t="s">
        <v>401</v>
      </c>
      <c r="E14" s="23" t="s">
        <v>401</v>
      </c>
      <c r="F14" s="24" t="s">
        <v>401</v>
      </c>
      <c r="G14" s="34" t="s">
        <v>401</v>
      </c>
      <c r="H14" s="24" t="s">
        <v>401</v>
      </c>
      <c r="I14" s="36" t="s">
        <v>401</v>
      </c>
      <c r="J14" s="23" t="s">
        <v>401</v>
      </c>
      <c r="K14" s="23" t="s">
        <v>401</v>
      </c>
      <c r="L14" s="23" t="s">
        <v>401</v>
      </c>
      <c r="M14" s="23" t="s">
        <v>401</v>
      </c>
      <c r="N14" s="24" t="s">
        <v>401</v>
      </c>
      <c r="O14" s="34" t="str">
        <f>HYPERLINK("#S.04.01.01!$A$1", "S.04.01.01")</f>
        <v>S.04.01.01</v>
      </c>
      <c r="P14" s="23" t="s">
        <v>401</v>
      </c>
      <c r="Q14" s="36" t="s">
        <v>401</v>
      </c>
      <c r="R14" s="23" t="s">
        <v>401</v>
      </c>
      <c r="S14" s="33" t="s">
        <v>401</v>
      </c>
      <c r="T14" s="34" t="s">
        <v>401</v>
      </c>
      <c r="U14" s="24" t="s">
        <v>401</v>
      </c>
      <c r="V14" s="35" t="s">
        <v>428</v>
      </c>
    </row>
    <row r="15" spans="1:22" hidden="1" x14ac:dyDescent="0.35">
      <c r="A15" s="27" t="s">
        <v>429</v>
      </c>
      <c r="B15" s="28" t="s">
        <v>430</v>
      </c>
      <c r="C15" s="34" t="str">
        <f>HYPERLINK("#S.04.02.01!$A$1", "S.04.02.01")</f>
        <v>S.04.02.01</v>
      </c>
      <c r="D15" s="23" t="s">
        <v>401</v>
      </c>
      <c r="E15" s="23" t="s">
        <v>401</v>
      </c>
      <c r="F15" s="24" t="s">
        <v>401</v>
      </c>
      <c r="G15" s="34" t="s">
        <v>401</v>
      </c>
      <c r="H15" s="24" t="s">
        <v>401</v>
      </c>
      <c r="I15" s="36" t="s">
        <v>401</v>
      </c>
      <c r="J15" s="23" t="s">
        <v>401</v>
      </c>
      <c r="K15" s="23" t="s">
        <v>401</v>
      </c>
      <c r="L15" s="23" t="s">
        <v>401</v>
      </c>
      <c r="M15" s="23" t="s">
        <v>401</v>
      </c>
      <c r="N15" s="24" t="s">
        <v>401</v>
      </c>
      <c r="O15" s="34" t="str">
        <f>HYPERLINK("#S.04.02.01!$A$1", "S.04.02.01")</f>
        <v>S.04.02.01</v>
      </c>
      <c r="P15" s="23" t="s">
        <v>401</v>
      </c>
      <c r="Q15" s="36" t="s">
        <v>401</v>
      </c>
      <c r="R15" s="23" t="s">
        <v>401</v>
      </c>
      <c r="S15" s="33" t="s">
        <v>401</v>
      </c>
      <c r="T15" s="34" t="s">
        <v>401</v>
      </c>
      <c r="U15" s="24" t="s">
        <v>401</v>
      </c>
      <c r="V15" s="35" t="s">
        <v>431</v>
      </c>
    </row>
    <row r="16" spans="1:22" x14ac:dyDescent="0.35">
      <c r="A16" s="250" t="s">
        <v>432</v>
      </c>
      <c r="B16" s="250" t="s">
        <v>161</v>
      </c>
      <c r="C16" s="36" t="str">
        <f>HYPERLINK("#S.05.01.01!$A$1", "S.05.01.01")</f>
        <v>S.05.01.01</v>
      </c>
      <c r="D16" s="23" t="str">
        <f>HYPERLINK("#S.05.01.02!$A$1", "S.05.01.02")</f>
        <v>S.05.01.02</v>
      </c>
      <c r="E16" s="23" t="str">
        <f>HYPERLINK("#S.05.01.01!$A$1", "S.05.01.01")</f>
        <v>S.05.01.01</v>
      </c>
      <c r="F16" s="24" t="str">
        <f>HYPERLINK("#S.05.01.02!$A$1", "S.05.01.02")</f>
        <v>S.05.01.02</v>
      </c>
      <c r="G16" s="34" t="str">
        <f>HYPERLINK("#S.05.01.01!$A$1", "S.05.01.01")</f>
        <v>S.05.01.01</v>
      </c>
      <c r="H16" s="24" t="str">
        <f>HYPERLINK("#S.05.01.02!$o$1", "S.05.01.02")</f>
        <v>S.05.01.02</v>
      </c>
      <c r="I16" s="36" t="s">
        <v>401</v>
      </c>
      <c r="J16" s="23" t="s">
        <v>401</v>
      </c>
      <c r="K16" s="23" t="s">
        <v>401</v>
      </c>
      <c r="L16" s="23" t="str">
        <f>HYPERLINK("#S.05.01.13!$A$1", "S.05.01.13")</f>
        <v>S.05.01.13</v>
      </c>
      <c r="M16" s="23" t="s">
        <v>401</v>
      </c>
      <c r="N16" s="24" t="s">
        <v>401</v>
      </c>
      <c r="O16" s="34" t="str">
        <f>HYPERLINK("#S.05.01.01!$A$1", "S.05.01.01")</f>
        <v>S.05.01.01</v>
      </c>
      <c r="P16" s="23" t="str">
        <f>HYPERLINK("#S.05.01.02!$A$1", "S.05.01.02")</f>
        <v>S.05.01.02</v>
      </c>
      <c r="Q16" s="36" t="str">
        <f>HYPERLINK("#S.05.01.01!$A$1", "S.05.01.01")</f>
        <v>S.05.01.01</v>
      </c>
      <c r="R16" s="23" t="str">
        <f>HYPERLINK("#S.05.01.02!$o$1", "S.05.01.02")</f>
        <v>S.05.01.02</v>
      </c>
      <c r="S16" s="33" t="s">
        <v>401</v>
      </c>
      <c r="T16" s="34" t="str">
        <f>HYPERLINK("#S.05.01.02!$A$1", "S.05.01.02")</f>
        <v>S.05.01.02</v>
      </c>
      <c r="U16" s="24" t="str">
        <f>HYPERLINK("#S.05.01.02!$A$1", "S.05.01.02")</f>
        <v>S.05.01.02</v>
      </c>
      <c r="V16" s="35" t="s">
        <v>433</v>
      </c>
    </row>
    <row r="17" spans="1:22" x14ac:dyDescent="0.35">
      <c r="A17" s="250" t="s">
        <v>434</v>
      </c>
      <c r="B17" s="250" t="s">
        <v>253</v>
      </c>
      <c r="C17" s="36" t="str">
        <f>HYPERLINK("#S.05.02.01!$A$1", "S.05.02.01")</f>
        <v>S.05.02.01</v>
      </c>
      <c r="D17" s="23" t="s">
        <v>401</v>
      </c>
      <c r="E17" s="23" t="str">
        <f>HYPERLINK("#S.05.02.01!$A$1", "S.05.02.01")</f>
        <v>S.05.02.01</v>
      </c>
      <c r="F17" s="24" t="s">
        <v>401</v>
      </c>
      <c r="G17" s="34" t="str">
        <f>HYPERLINK("#S.05.02.01!$A$1", "S.05.02.01")</f>
        <v>S.05.02.01</v>
      </c>
      <c r="H17" s="24" t="s">
        <v>401</v>
      </c>
      <c r="I17" s="36" t="s">
        <v>401</v>
      </c>
      <c r="J17" s="23" t="s">
        <v>401</v>
      </c>
      <c r="K17" s="23" t="s">
        <v>401</v>
      </c>
      <c r="L17" s="23" t="s">
        <v>401</v>
      </c>
      <c r="M17" s="23" t="s">
        <v>401</v>
      </c>
      <c r="N17" s="24" t="s">
        <v>401</v>
      </c>
      <c r="O17" s="34" t="str">
        <f>HYPERLINK("#S.05.02.01!$A$1", "S.05.02.01")</f>
        <v>S.05.02.01</v>
      </c>
      <c r="P17" s="23" t="s">
        <v>401</v>
      </c>
      <c r="Q17" s="36" t="str">
        <f>HYPERLINK("#S.05.02.01!$A$1", "S.05.02.01")</f>
        <v>S.05.02.01</v>
      </c>
      <c r="R17" s="23" t="s">
        <v>401</v>
      </c>
      <c r="S17" s="33" t="s">
        <v>401</v>
      </c>
      <c r="T17" s="34" t="str">
        <f>HYPERLINK("#S.05.02.01!$A$1", "S.05.02.01")</f>
        <v>S.05.02.01</v>
      </c>
      <c r="U17" s="24" t="str">
        <f>HYPERLINK("#S.05.02.01!$A$1", "S.05.02.01")</f>
        <v>S.05.02.01</v>
      </c>
      <c r="V17" s="35" t="s">
        <v>252</v>
      </c>
    </row>
    <row r="18" spans="1:22" hidden="1" x14ac:dyDescent="0.35">
      <c r="A18" s="27" t="s">
        <v>435</v>
      </c>
      <c r="B18" s="28" t="s">
        <v>436</v>
      </c>
      <c r="C18" s="34" t="str">
        <f>HYPERLINK("#S.06.01.01!$A$1", "S.06.01.01")</f>
        <v>S.06.01.01</v>
      </c>
      <c r="D18" s="23" t="s">
        <v>401</v>
      </c>
      <c r="E18" s="23" t="str">
        <f>HYPERLINK("#S.06.01.01!$A$1", "S.06.01.01")</f>
        <v>S.06.01.01</v>
      </c>
      <c r="F18" s="24" t="s">
        <v>401</v>
      </c>
      <c r="G18" s="34" t="s">
        <v>401</v>
      </c>
      <c r="H18" s="24" t="s">
        <v>401</v>
      </c>
      <c r="I18" s="36" t="s">
        <v>401</v>
      </c>
      <c r="J18" s="23" t="s">
        <v>401</v>
      </c>
      <c r="K18" s="23" t="s">
        <v>401</v>
      </c>
      <c r="L18" s="23" t="s">
        <v>401</v>
      </c>
      <c r="M18" s="23" t="s">
        <v>401</v>
      </c>
      <c r="N18" s="24" t="s">
        <v>401</v>
      </c>
      <c r="O18" s="34" t="str">
        <f>HYPERLINK("#S.06.01.01!$A$1", "S.06.01.01")</f>
        <v>S.06.01.01</v>
      </c>
      <c r="P18" s="23" t="s">
        <v>401</v>
      </c>
      <c r="Q18" s="36" t="s">
        <v>401</v>
      </c>
      <c r="R18" s="23" t="s">
        <v>401</v>
      </c>
      <c r="S18" s="33" t="s">
        <v>401</v>
      </c>
      <c r="T18" s="34" t="s">
        <v>401</v>
      </c>
      <c r="U18" s="24" t="s">
        <v>401</v>
      </c>
      <c r="V18" s="35" t="s">
        <v>437</v>
      </c>
    </row>
    <row r="19" spans="1:22" hidden="1" x14ac:dyDescent="0.35">
      <c r="A19" s="27" t="s">
        <v>438</v>
      </c>
      <c r="B19" s="28" t="s">
        <v>439</v>
      </c>
      <c r="C19" s="29" t="str">
        <f>HYPERLINK("#S.06.02.01!$A$1", "S.06.02.01")</f>
        <v>S.06.02.01</v>
      </c>
      <c r="D19" s="30" t="str">
        <f>HYPERLINK("#S.06.02.01!$A$1", "S.06.02.01")</f>
        <v>S.06.02.01</v>
      </c>
      <c r="E19" s="30" t="str">
        <f>HYPERLINK("#S.06.02.04!$A$1", "S.06.02.04")</f>
        <v>S.06.02.04</v>
      </c>
      <c r="F19" s="31" t="str">
        <f>HYPERLINK("#S.06.02.04!$A$1", "S.06.02.04")</f>
        <v>S.06.02.04</v>
      </c>
      <c r="G19" s="29" t="str">
        <f>HYPERLINK("#S.06.02.07!$A$1", "S.06.02.07")</f>
        <v>S.06.02.07</v>
      </c>
      <c r="H19" s="31" t="str">
        <f>HYPERLINK("#S.06.02.07!$A$1", "S.06.02.07")</f>
        <v>S.06.02.07</v>
      </c>
      <c r="I19" s="36" t="s">
        <v>401</v>
      </c>
      <c r="J19" s="23" t="s">
        <v>401</v>
      </c>
      <c r="K19" s="23" t="s">
        <v>401</v>
      </c>
      <c r="L19" s="30" t="str">
        <f>HYPERLINK("#S.06.02.04!$A$1", "S.06.02.04")</f>
        <v>S.06.02.04</v>
      </c>
      <c r="M19" s="23" t="s">
        <v>401</v>
      </c>
      <c r="N19" s="24" t="s">
        <v>401</v>
      </c>
      <c r="O19" s="36" t="s">
        <v>401</v>
      </c>
      <c r="P19" s="36" t="s">
        <v>401</v>
      </c>
      <c r="Q19" s="36" t="s">
        <v>401</v>
      </c>
      <c r="R19" s="36" t="s">
        <v>401</v>
      </c>
      <c r="S19" s="33" t="s">
        <v>401</v>
      </c>
      <c r="T19" s="34" t="s">
        <v>401</v>
      </c>
      <c r="U19" s="24" t="s">
        <v>401</v>
      </c>
      <c r="V19" s="35" t="s">
        <v>440</v>
      </c>
    </row>
    <row r="20" spans="1:22" hidden="1" x14ac:dyDescent="0.35">
      <c r="A20" s="27" t="s">
        <v>441</v>
      </c>
      <c r="B20" s="28" t="s">
        <v>442</v>
      </c>
      <c r="C20" s="34" t="str">
        <f>HYPERLINK("#S.06.03.01!$A$1", "S.06.03.01")</f>
        <v>S.06.03.01</v>
      </c>
      <c r="D20" s="23" t="str">
        <f>HYPERLINK("#S.06.03.01!$A$1", "S.06.03.01")</f>
        <v>S.06.03.01</v>
      </c>
      <c r="E20" s="23" t="str">
        <f>HYPERLINK("#S.06.03.04!$A$1", "S.06.03.04")</f>
        <v>S.06.03.04</v>
      </c>
      <c r="F20" s="24" t="str">
        <f>HYPERLINK("#S.06.03.04!$A$1", "S.06.03.04")</f>
        <v>S.06.03.04</v>
      </c>
      <c r="G20" s="34" t="str">
        <f>HYPERLINK("#S.06.03.01!$A$1", "S.06.03.01")</f>
        <v>S.06.03.01</v>
      </c>
      <c r="H20" s="24" t="str">
        <f>HYPERLINK("#S.06.03.01!$A$1", "S.06.03.01")</f>
        <v>S.06.03.01</v>
      </c>
      <c r="I20" s="36" t="s">
        <v>401</v>
      </c>
      <c r="J20" s="23" t="s">
        <v>401</v>
      </c>
      <c r="K20" s="23" t="s">
        <v>401</v>
      </c>
      <c r="L20" s="23" t="s">
        <v>401</v>
      </c>
      <c r="M20" s="23" t="s">
        <v>401</v>
      </c>
      <c r="N20" s="36" t="s">
        <v>401</v>
      </c>
      <c r="O20" s="34" t="str">
        <f>HYPERLINK("#S.06.03.01!$A$1", "S.06.03.01")</f>
        <v>S.06.03.01</v>
      </c>
      <c r="P20" s="23" t="str">
        <f>HYPERLINK("#S.06.03.01!$A$1", "S.06.03.01")</f>
        <v>S.06.03.01</v>
      </c>
      <c r="Q20" s="36" t="str">
        <f>HYPERLINK("#S.06.03.01!$A$1", "S.06.03.01")</f>
        <v>S.06.03.01</v>
      </c>
      <c r="R20" s="23" t="str">
        <f>HYPERLINK("#S.06.03.01!$A$1", "S.06.03.01")</f>
        <v>S.06.03.01</v>
      </c>
      <c r="S20" s="33" t="s">
        <v>401</v>
      </c>
      <c r="T20" s="34" t="s">
        <v>401</v>
      </c>
      <c r="U20" s="24" t="s">
        <v>401</v>
      </c>
      <c r="V20" s="35" t="s">
        <v>443</v>
      </c>
    </row>
    <row r="21" spans="1:22" hidden="1" x14ac:dyDescent="0.35">
      <c r="A21" s="27" t="s">
        <v>444</v>
      </c>
      <c r="B21" s="28" t="s">
        <v>445</v>
      </c>
      <c r="C21" s="34" t="str">
        <f>HYPERLINK("#S.07.01.01!$A$1", "S.07.01.01")</f>
        <v>S.07.01.01</v>
      </c>
      <c r="D21" s="23" t="s">
        <v>401</v>
      </c>
      <c r="E21" s="23" t="str">
        <f>HYPERLINK("#S.07.01.04!$A$1", "S.07.01.04")</f>
        <v>S.07.01.04</v>
      </c>
      <c r="F21" s="24" t="s">
        <v>401</v>
      </c>
      <c r="G21" s="34" t="str">
        <f>HYPERLINK("#S.07.01.01!$A$1", "S.07.01.01")</f>
        <v>S.07.01.01</v>
      </c>
      <c r="H21" s="24" t="s">
        <v>401</v>
      </c>
      <c r="I21" s="36" t="s">
        <v>401</v>
      </c>
      <c r="J21" s="23" t="s">
        <v>401</v>
      </c>
      <c r="K21" s="23" t="s">
        <v>401</v>
      </c>
      <c r="L21" s="23" t="s">
        <v>401</v>
      </c>
      <c r="M21" s="23" t="s">
        <v>401</v>
      </c>
      <c r="N21" s="24" t="s">
        <v>401</v>
      </c>
      <c r="O21" s="34" t="str">
        <f>HYPERLINK("#S.07.01.01!$A$1", "S.07.01.01")</f>
        <v>S.07.01.01</v>
      </c>
      <c r="P21" s="23" t="s">
        <v>401</v>
      </c>
      <c r="Q21" s="36" t="str">
        <f>HYPERLINK("#S.07.01.01!$A$1", "S.07.01.01")</f>
        <v>S.07.01.01</v>
      </c>
      <c r="R21" s="23" t="s">
        <v>401</v>
      </c>
      <c r="S21" s="33" t="s">
        <v>401</v>
      </c>
      <c r="T21" s="34" t="s">
        <v>401</v>
      </c>
      <c r="U21" s="24" t="s">
        <v>401</v>
      </c>
      <c r="V21" s="35" t="s">
        <v>446</v>
      </c>
    </row>
    <row r="22" spans="1:22" hidden="1" x14ac:dyDescent="0.35">
      <c r="A22" s="27" t="s">
        <v>447</v>
      </c>
      <c r="B22" s="28" t="s">
        <v>448</v>
      </c>
      <c r="C22" s="29" t="str">
        <f>HYPERLINK("#S.08.01.01!$A$1", "S.08.01.01")</f>
        <v>S.08.01.01</v>
      </c>
      <c r="D22" s="30" t="str">
        <f>HYPERLINK("#S.08.01.01!$A$1", "S.08.01.01")</f>
        <v>S.08.01.01</v>
      </c>
      <c r="E22" s="30" t="str">
        <f>HYPERLINK("#S.08.01.04!$A$1", "S.08.01.04")</f>
        <v>S.08.01.04</v>
      </c>
      <c r="F22" s="31" t="str">
        <f>HYPERLINK("#S.08.01.04!$A$1", "S.08.01.04")</f>
        <v>S.08.01.04</v>
      </c>
      <c r="G22" s="29" t="str">
        <f>HYPERLINK("#S.08.01.01!$A$1", "S.08.01.01")</f>
        <v>S.08.01.01</v>
      </c>
      <c r="H22" s="31" t="str">
        <f>HYPERLINK("#S.08.01.01!$A$1", "S.08.01.01")</f>
        <v>S.08.01.01</v>
      </c>
      <c r="I22" s="36" t="s">
        <v>401</v>
      </c>
      <c r="J22" s="23" t="s">
        <v>401</v>
      </c>
      <c r="K22" s="23" t="s">
        <v>401</v>
      </c>
      <c r="L22" s="23" t="s">
        <v>401</v>
      </c>
      <c r="M22" s="23" t="s">
        <v>401</v>
      </c>
      <c r="N22" s="24" t="s">
        <v>401</v>
      </c>
      <c r="O22" s="29" t="str">
        <f>HYPERLINK("#S.08.01.01!$A$1", "S.08.01.01")</f>
        <v>S.08.01.01</v>
      </c>
      <c r="P22" s="30" t="str">
        <f>HYPERLINK("#S.08.01.01!$A$1", "S.08.01.01")</f>
        <v>S.08.01.01</v>
      </c>
      <c r="Q22" s="32" t="str">
        <f>HYPERLINK("#S.08.01.01!$A$1", "S.08.01.01")</f>
        <v>S.08.01.01</v>
      </c>
      <c r="R22" s="30" t="str">
        <f>HYPERLINK("#S.08.01.01!$A$1", "S.08.01.01")</f>
        <v>S.08.01.01</v>
      </c>
      <c r="S22" s="33" t="s">
        <v>401</v>
      </c>
      <c r="T22" s="34" t="s">
        <v>401</v>
      </c>
      <c r="U22" s="24" t="s">
        <v>401</v>
      </c>
      <c r="V22" s="35" t="s">
        <v>449</v>
      </c>
    </row>
    <row r="23" spans="1:22" hidden="1" x14ac:dyDescent="0.35">
      <c r="A23" s="27" t="s">
        <v>450</v>
      </c>
      <c r="B23" s="28" t="s">
        <v>451</v>
      </c>
      <c r="C23" s="34" t="str">
        <f>HYPERLINK("#S.08.02.01!$A$1", "S.08.02.01")</f>
        <v>S.08.02.01</v>
      </c>
      <c r="D23" s="23" t="str">
        <f>HYPERLINK("#S.08.02.01!$A$1", "S.08.02.01")</f>
        <v>S.08.02.01</v>
      </c>
      <c r="E23" s="23" t="str">
        <f>HYPERLINK("#S.08.02.04!$A$1", "S.08.02.04")</f>
        <v>S.08.02.04</v>
      </c>
      <c r="F23" s="24" t="str">
        <f>HYPERLINK("#S.08.02.04!$A$1", "S.08.02.04")</f>
        <v>S.08.02.04</v>
      </c>
      <c r="G23" s="34" t="str">
        <f>HYPERLINK("#S.08.02.01!$A$1", "S.08.02.01")</f>
        <v>S.08.02.01</v>
      </c>
      <c r="H23" s="24" t="str">
        <f>HYPERLINK("#S.08.02.01!$A$1", "S.08.02.01")</f>
        <v>S.08.02.01</v>
      </c>
      <c r="I23" s="36" t="s">
        <v>401</v>
      </c>
      <c r="J23" s="23" t="s">
        <v>401</v>
      </c>
      <c r="K23" s="23" t="s">
        <v>401</v>
      </c>
      <c r="L23" s="23" t="s">
        <v>401</v>
      </c>
      <c r="M23" s="23" t="s">
        <v>401</v>
      </c>
      <c r="N23" s="24" t="s">
        <v>401</v>
      </c>
      <c r="O23" s="34" t="str">
        <f>HYPERLINK("#S.08.02.01!$A$1", "S.08.02.01")</f>
        <v>S.08.02.01</v>
      </c>
      <c r="P23" s="23" t="str">
        <f>HYPERLINK("#S.08.02.01!$A$1", "S.08.02.01")</f>
        <v>S.08.02.01</v>
      </c>
      <c r="Q23" s="36" t="str">
        <f>HYPERLINK("#S.08.02.01!$A$1", "S.08.02.01")</f>
        <v>S.08.02.01</v>
      </c>
      <c r="R23" s="23" t="str">
        <f>HYPERLINK("#S.08.02.01!$A$1", "S.08.02.01")</f>
        <v>S.08.02.01</v>
      </c>
      <c r="S23" s="33" t="s">
        <v>401</v>
      </c>
      <c r="T23" s="34" t="s">
        <v>401</v>
      </c>
      <c r="U23" s="24" t="s">
        <v>401</v>
      </c>
      <c r="V23" s="35" t="s">
        <v>452</v>
      </c>
    </row>
    <row r="24" spans="1:22" hidden="1" x14ac:dyDescent="0.35">
      <c r="A24" s="27" t="s">
        <v>453</v>
      </c>
      <c r="B24" s="28" t="s">
        <v>454</v>
      </c>
      <c r="C24" s="34" t="str">
        <f>HYPERLINK("#S.09.01.01!$A$1", "S.09.01.01")</f>
        <v>S.09.01.01</v>
      </c>
      <c r="D24" s="23" t="s">
        <v>401</v>
      </c>
      <c r="E24" s="23" t="str">
        <f>HYPERLINK("#S.09.01.04!$A$1", "S.09.01.04")</f>
        <v>S.09.01.04</v>
      </c>
      <c r="F24" s="24" t="s">
        <v>401</v>
      </c>
      <c r="G24" s="34" t="str">
        <f>HYPERLINK("#S.09.01.01!$A$1", "S.09.01.01")</f>
        <v>S.09.01.01</v>
      </c>
      <c r="H24" s="24" t="s">
        <v>401</v>
      </c>
      <c r="I24" s="36" t="s">
        <v>401</v>
      </c>
      <c r="J24" s="23" t="s">
        <v>401</v>
      </c>
      <c r="K24" s="23" t="s">
        <v>401</v>
      </c>
      <c r="L24" s="23" t="s">
        <v>401</v>
      </c>
      <c r="M24" s="23" t="s">
        <v>401</v>
      </c>
      <c r="N24" s="36" t="s">
        <v>401</v>
      </c>
      <c r="O24" s="34" t="str">
        <f>HYPERLINK("#S.09.01.01!$A$1", "S.09.01.01")</f>
        <v>S.09.01.01</v>
      </c>
      <c r="P24" s="23" t="s">
        <v>401</v>
      </c>
      <c r="Q24" s="36" t="str">
        <f>HYPERLINK("#S.09.01.01!$A$1", "S.09.01.01")</f>
        <v>S.09.01.01</v>
      </c>
      <c r="R24" s="23" t="s">
        <v>401</v>
      </c>
      <c r="S24" s="33" t="s">
        <v>401</v>
      </c>
      <c r="T24" s="34" t="s">
        <v>401</v>
      </c>
      <c r="U24" s="24" t="s">
        <v>401</v>
      </c>
      <c r="V24" s="35" t="s">
        <v>455</v>
      </c>
    </row>
    <row r="25" spans="1:22" hidden="1" x14ac:dyDescent="0.35">
      <c r="A25" s="27" t="s">
        <v>456</v>
      </c>
      <c r="B25" s="28" t="s">
        <v>457</v>
      </c>
      <c r="C25" s="34" t="str">
        <f>HYPERLINK("#S.10.01.01!$A$1", "S.10.01.01")</f>
        <v>S.10.01.01</v>
      </c>
      <c r="D25" s="23" t="s">
        <v>401</v>
      </c>
      <c r="E25" s="23" t="str">
        <f>HYPERLINK("#S.10.01.04!$A$1", "S.10.01.04")</f>
        <v>S.10.01.04</v>
      </c>
      <c r="F25" s="24" t="s">
        <v>401</v>
      </c>
      <c r="G25" s="34" t="str">
        <f>HYPERLINK("#S.10.01.01!$A$1", "S.10.01.01")</f>
        <v>S.10.01.01</v>
      </c>
      <c r="H25" s="24" t="s">
        <v>401</v>
      </c>
      <c r="I25" s="36" t="s">
        <v>401</v>
      </c>
      <c r="J25" s="23" t="s">
        <v>401</v>
      </c>
      <c r="K25" s="23" t="s">
        <v>401</v>
      </c>
      <c r="L25" s="23" t="s">
        <v>401</v>
      </c>
      <c r="M25" s="23" t="s">
        <v>401</v>
      </c>
      <c r="N25" s="36" t="s">
        <v>401</v>
      </c>
      <c r="O25" s="34" t="str">
        <f>HYPERLINK("#S.10.01.01!$A$1", "S.10.01.01")</f>
        <v>S.10.01.01</v>
      </c>
      <c r="P25" s="23" t="s">
        <v>401</v>
      </c>
      <c r="Q25" s="36" t="str">
        <f>HYPERLINK("#S.10.01.01!$A$1", "S.10.01.01")</f>
        <v>S.10.01.01</v>
      </c>
      <c r="R25" s="23" t="s">
        <v>401</v>
      </c>
      <c r="S25" s="33" t="s">
        <v>401</v>
      </c>
      <c r="T25" s="34" t="s">
        <v>401</v>
      </c>
      <c r="U25" s="24" t="s">
        <v>401</v>
      </c>
      <c r="V25" s="35" t="s">
        <v>458</v>
      </c>
    </row>
    <row r="26" spans="1:22" hidden="1" x14ac:dyDescent="0.35">
      <c r="A26" s="27" t="s">
        <v>459</v>
      </c>
      <c r="B26" s="28" t="s">
        <v>460</v>
      </c>
      <c r="C26" s="34" t="str">
        <f>HYPERLINK("#S.11.01.01!$A$1", "S.11.01.01")</f>
        <v>S.11.01.01</v>
      </c>
      <c r="D26" s="23" t="s">
        <v>401</v>
      </c>
      <c r="E26" s="23" t="str">
        <f>HYPERLINK("#S.11.01.04!$A$1", "S.11.01.04")</f>
        <v>S.11.01.04</v>
      </c>
      <c r="F26" s="24" t="s">
        <v>401</v>
      </c>
      <c r="G26" s="34" t="str">
        <f>HYPERLINK("#S.11.01.01!$A$1", "S.11.01.01")</f>
        <v>S.11.01.01</v>
      </c>
      <c r="H26" s="24" t="s">
        <v>401</v>
      </c>
      <c r="I26" s="36" t="s">
        <v>401</v>
      </c>
      <c r="J26" s="23" t="s">
        <v>401</v>
      </c>
      <c r="K26" s="23" t="s">
        <v>401</v>
      </c>
      <c r="L26" s="23" t="s">
        <v>401</v>
      </c>
      <c r="M26" s="23" t="s">
        <v>401</v>
      </c>
      <c r="N26" s="24" t="s">
        <v>401</v>
      </c>
      <c r="O26" s="34" t="str">
        <f>HYPERLINK("#S.11.01.01!$A$1", "S.11.01.01")</f>
        <v>S.11.01.01</v>
      </c>
      <c r="P26" s="23" t="s">
        <v>401</v>
      </c>
      <c r="Q26" s="36" t="str">
        <f>HYPERLINK("#S.11.01.01!$A$1", "S.11.01.01")</f>
        <v>S.11.01.01</v>
      </c>
      <c r="R26" s="23" t="s">
        <v>401</v>
      </c>
      <c r="S26" s="33" t="s">
        <v>401</v>
      </c>
      <c r="T26" s="34" t="s">
        <v>401</v>
      </c>
      <c r="U26" s="24" t="s">
        <v>401</v>
      </c>
      <c r="V26" s="35" t="s">
        <v>461</v>
      </c>
    </row>
    <row r="27" spans="1:22" x14ac:dyDescent="0.35">
      <c r="A27" s="250" t="s">
        <v>462</v>
      </c>
      <c r="B27" s="250" t="s">
        <v>274</v>
      </c>
      <c r="C27" s="36" t="str">
        <f>HYPERLINK("#S.12.01.01!$A$1", "S.12.01.01")</f>
        <v>S.12.01.01</v>
      </c>
      <c r="D27" s="23" t="str">
        <f>HYPERLINK("#S.12.01.02!$A$1", "S.12.01.02")</f>
        <v>S.12.01.02</v>
      </c>
      <c r="E27" s="23" t="s">
        <v>401</v>
      </c>
      <c r="F27" s="24" t="s">
        <v>401</v>
      </c>
      <c r="G27" s="34" t="str">
        <f>HYPERLINK("#S.12.01.01!$A$1", "S.12.01.01")</f>
        <v>S.12.01.01</v>
      </c>
      <c r="H27" s="24" t="str">
        <f>HYPERLINK("#S.12.01.02!$A$1", "S.12.01.02")</f>
        <v>S.12.01.02</v>
      </c>
      <c r="I27" s="36" t="s">
        <v>401</v>
      </c>
      <c r="J27" s="23" t="s">
        <v>401</v>
      </c>
      <c r="K27" s="23" t="s">
        <v>401</v>
      </c>
      <c r="L27" s="23" t="s">
        <v>401</v>
      </c>
      <c r="M27" s="23" t="s">
        <v>401</v>
      </c>
      <c r="N27" s="24" t="s">
        <v>401</v>
      </c>
      <c r="O27" s="34" t="str">
        <f>HYPERLINK("#S.12.01.01!$A$1", "S.12.01.01")</f>
        <v>S.12.01.01</v>
      </c>
      <c r="P27" s="23" t="str">
        <f>HYPERLINK("#S.12.01.02!$A$1", "S.12.01.02")</f>
        <v>S.12.01.02</v>
      </c>
      <c r="Q27" s="36" t="str">
        <f>HYPERLINK("#S.12.01.01!$A$1", "S.12.01.01")</f>
        <v>S.12.01.01</v>
      </c>
      <c r="R27" s="23" t="str">
        <f>HYPERLINK("#S.12.01.02!$A$1", "S.12.01.02")</f>
        <v>S.12.01.02</v>
      </c>
      <c r="S27" s="33" t="s">
        <v>401</v>
      </c>
      <c r="T27" s="34" t="str">
        <f>HYPERLINK("#S.12.01.02!$A$1", "S.12.01.02")</f>
        <v>S.12.01.02</v>
      </c>
      <c r="U27" s="24" t="s">
        <v>401</v>
      </c>
      <c r="V27" s="35" t="s">
        <v>463</v>
      </c>
    </row>
    <row r="28" spans="1:22" hidden="1" x14ac:dyDescent="0.35">
      <c r="A28" s="27" t="s">
        <v>464</v>
      </c>
      <c r="B28" s="28" t="s">
        <v>465</v>
      </c>
      <c r="C28" s="34" t="str">
        <f>HYPERLINK("#S.12.02.01!$A$1", "S.12.02.01")</f>
        <v>S.12.02.01</v>
      </c>
      <c r="D28" s="23" t="s">
        <v>401</v>
      </c>
      <c r="E28" s="23" t="s">
        <v>401</v>
      </c>
      <c r="F28" s="24" t="s">
        <v>401</v>
      </c>
      <c r="G28" s="34" t="str">
        <f>HYPERLINK("#S.12.02.01!$A$1", "S.12.02.01")</f>
        <v>S.12.02.01</v>
      </c>
      <c r="H28" s="24" t="s">
        <v>401</v>
      </c>
      <c r="I28" s="36" t="s">
        <v>401</v>
      </c>
      <c r="J28" s="23" t="s">
        <v>401</v>
      </c>
      <c r="K28" s="23" t="s">
        <v>401</v>
      </c>
      <c r="L28" s="23" t="s">
        <v>401</v>
      </c>
      <c r="M28" s="23" t="s">
        <v>401</v>
      </c>
      <c r="N28" s="24" t="s">
        <v>401</v>
      </c>
      <c r="O28" s="34" t="str">
        <f>HYPERLINK("#S.12.02.01!$A$1", "S.12.02.01")</f>
        <v>S.12.02.01</v>
      </c>
      <c r="P28" s="23" t="s">
        <v>401</v>
      </c>
      <c r="Q28" s="36" t="str">
        <f>HYPERLINK("#S.12.02.01!$A$1", "S.12.02.01")</f>
        <v>S.12.02.01</v>
      </c>
      <c r="R28" s="23" t="s">
        <v>401</v>
      </c>
      <c r="S28" s="33" t="s">
        <v>401</v>
      </c>
      <c r="T28" s="34" t="s">
        <v>401</v>
      </c>
      <c r="U28" s="24" t="s">
        <v>401</v>
      </c>
      <c r="V28" s="35" t="s">
        <v>466</v>
      </c>
    </row>
    <row r="29" spans="1:22" hidden="1" x14ac:dyDescent="0.35">
      <c r="A29" s="27" t="s">
        <v>467</v>
      </c>
      <c r="B29" s="28" t="s">
        <v>468</v>
      </c>
      <c r="C29" s="34" t="str">
        <f>HYPERLINK("#S.13.01.01!$A$1", "S.13.01.01")</f>
        <v>S.13.01.01</v>
      </c>
      <c r="D29" s="23" t="s">
        <v>401</v>
      </c>
      <c r="E29" s="23" t="s">
        <v>401</v>
      </c>
      <c r="F29" s="24" t="s">
        <v>401</v>
      </c>
      <c r="G29" s="34" t="str">
        <f>HYPERLINK("#S.13.01.01!$A$1", "S.13.01.01")</f>
        <v>S.13.01.01</v>
      </c>
      <c r="H29" s="24" t="s">
        <v>401</v>
      </c>
      <c r="I29" s="36" t="s">
        <v>401</v>
      </c>
      <c r="J29" s="23" t="s">
        <v>401</v>
      </c>
      <c r="K29" s="23" t="s">
        <v>401</v>
      </c>
      <c r="L29" s="23" t="s">
        <v>401</v>
      </c>
      <c r="M29" s="23" t="s">
        <v>401</v>
      </c>
      <c r="N29" s="24" t="s">
        <v>401</v>
      </c>
      <c r="O29" s="34" t="str">
        <f>HYPERLINK("#S.13.01.01!$A$1", "S.13.01.01")</f>
        <v>S.13.01.01</v>
      </c>
      <c r="P29" s="23" t="s">
        <v>401</v>
      </c>
      <c r="Q29" s="36" t="str">
        <f>HYPERLINK("#S.13.01.01!$A$1", "S.13.01.01")</f>
        <v>S.13.01.01</v>
      </c>
      <c r="R29" s="23" t="s">
        <v>401</v>
      </c>
      <c r="S29" s="33" t="s">
        <v>401</v>
      </c>
      <c r="T29" s="34" t="s">
        <v>401</v>
      </c>
      <c r="U29" s="24" t="s">
        <v>401</v>
      </c>
      <c r="V29" s="35" t="s">
        <v>469</v>
      </c>
    </row>
    <row r="30" spans="1:22" hidden="1" x14ac:dyDescent="0.35">
      <c r="A30" s="27" t="s">
        <v>470</v>
      </c>
      <c r="B30" s="28" t="s">
        <v>471</v>
      </c>
      <c r="C30" s="37" t="str">
        <f>HYPERLINK("#S.14.01.01!$A$1", "S.14.01.01")</f>
        <v>S.14.01.01</v>
      </c>
      <c r="D30" s="23" t="s">
        <v>401</v>
      </c>
      <c r="E30" s="23" t="s">
        <v>401</v>
      </c>
      <c r="F30" s="24" t="s">
        <v>401</v>
      </c>
      <c r="G30" s="34" t="str">
        <f>HYPERLINK("#S.14.01.01!$A$1", "S.14.01.01")</f>
        <v>S.14.01.01</v>
      </c>
      <c r="H30" s="24" t="s">
        <v>401</v>
      </c>
      <c r="I30" s="36" t="str">
        <f>HYPERLINK("#S.14.01.10!$A$1", "S.14.01.10")</f>
        <v>S.14.01.10</v>
      </c>
      <c r="J30" s="23" t="s">
        <v>401</v>
      </c>
      <c r="K30" s="23" t="str">
        <f>HYPERLINK("#S.14.01.10!$A$1", "S.14.01.10")</f>
        <v>S.14.01.10</v>
      </c>
      <c r="L30" s="23" t="s">
        <v>401</v>
      </c>
      <c r="M30" s="36" t="str">
        <f>HYPERLINK("#S.14.01.10!$A$1", "S.14.01.10")</f>
        <v>S.14.01.10</v>
      </c>
      <c r="N30" s="24" t="s">
        <v>401</v>
      </c>
      <c r="O30" s="34" t="str">
        <f>HYPERLINK("#S.14.01.01!$A$1", "S.14.01.01")</f>
        <v>S.14.01.01</v>
      </c>
      <c r="P30" s="23" t="s">
        <v>401</v>
      </c>
      <c r="Q30" s="36" t="str">
        <f>HYPERLINK("#S.14.01.01!$A$1", "S.14.01.01")</f>
        <v>S.14.01.01</v>
      </c>
      <c r="R30" s="23" t="s">
        <v>401</v>
      </c>
      <c r="S30" s="33" t="s">
        <v>401</v>
      </c>
      <c r="T30" s="34" t="s">
        <v>401</v>
      </c>
      <c r="U30" s="24" t="s">
        <v>401</v>
      </c>
      <c r="V30" s="35" t="s">
        <v>472</v>
      </c>
    </row>
    <row r="31" spans="1:22" hidden="1" x14ac:dyDescent="0.35">
      <c r="A31" s="27" t="s">
        <v>473</v>
      </c>
      <c r="B31" s="28" t="s">
        <v>474</v>
      </c>
      <c r="C31" s="34" t="str">
        <f>HYPERLINK("#S.15.01.01!$A$1", "S.15.01.01")</f>
        <v>S.15.01.01</v>
      </c>
      <c r="D31" s="23" t="s">
        <v>401</v>
      </c>
      <c r="E31" s="23" t="str">
        <f>HYPERLINK("#S.15.01.04!$A$1", "S.15.01.04")</f>
        <v>S.15.01.04</v>
      </c>
      <c r="F31" s="24" t="s">
        <v>401</v>
      </c>
      <c r="G31" s="34" t="str">
        <f>HYPERLINK("#S.15.01.01!$A$1", "S.15.01.01")</f>
        <v>S.15.01.01</v>
      </c>
      <c r="H31" s="24" t="s">
        <v>401</v>
      </c>
      <c r="I31" s="36" t="s">
        <v>401</v>
      </c>
      <c r="J31" s="23" t="s">
        <v>401</v>
      </c>
      <c r="K31" s="23" t="s">
        <v>401</v>
      </c>
      <c r="L31" s="23" t="s">
        <v>401</v>
      </c>
      <c r="M31" s="23" t="s">
        <v>401</v>
      </c>
      <c r="N31" s="24" t="s">
        <v>401</v>
      </c>
      <c r="O31" s="34" t="str">
        <f>HYPERLINK("#S.15.01.01!$A$1", "S.15.01.01")</f>
        <v>S.15.01.01</v>
      </c>
      <c r="P31" s="23" t="s">
        <v>401</v>
      </c>
      <c r="Q31" s="36" t="str">
        <f>HYPERLINK("#S.15.01.01!$A$1", "S.15.01.01")</f>
        <v>S.15.01.01</v>
      </c>
      <c r="R31" s="23" t="s">
        <v>401</v>
      </c>
      <c r="S31" s="33" t="s">
        <v>401</v>
      </c>
      <c r="T31" s="34" t="s">
        <v>401</v>
      </c>
      <c r="U31" s="24" t="s">
        <v>401</v>
      </c>
      <c r="V31" s="35" t="s">
        <v>475</v>
      </c>
    </row>
    <row r="32" spans="1:22" hidden="1" x14ac:dyDescent="0.35">
      <c r="A32" s="27" t="s">
        <v>476</v>
      </c>
      <c r="B32" s="28" t="s">
        <v>477</v>
      </c>
      <c r="C32" s="34" t="str">
        <f>HYPERLINK("#S.15.02.01!$A$1", "S.15.02.01")</f>
        <v>S.15.02.01</v>
      </c>
      <c r="D32" s="23" t="s">
        <v>401</v>
      </c>
      <c r="E32" s="23" t="str">
        <f>HYPERLINK("#S.15.02.04!$A$1", "S.15.02.04")</f>
        <v>S.15.02.04</v>
      </c>
      <c r="F32" s="24" t="s">
        <v>401</v>
      </c>
      <c r="G32" s="34" t="str">
        <f>HYPERLINK("#S.15.02.01!$A$1", "S.15.02.01")</f>
        <v>S.15.02.01</v>
      </c>
      <c r="H32" s="24" t="s">
        <v>401</v>
      </c>
      <c r="I32" s="36" t="s">
        <v>401</v>
      </c>
      <c r="J32" s="23" t="s">
        <v>401</v>
      </c>
      <c r="K32" s="23" t="s">
        <v>401</v>
      </c>
      <c r="L32" s="23" t="s">
        <v>401</v>
      </c>
      <c r="M32" s="23" t="s">
        <v>401</v>
      </c>
      <c r="N32" s="24" t="s">
        <v>401</v>
      </c>
      <c r="O32" s="34" t="str">
        <f>HYPERLINK("#S.15.02.01!$A$1", "S.15.02.01")</f>
        <v>S.15.02.01</v>
      </c>
      <c r="P32" s="23" t="s">
        <v>401</v>
      </c>
      <c r="Q32" s="36" t="str">
        <f>HYPERLINK("#S.15.02.01!$A$1", "S.15.02.01")</f>
        <v>S.15.02.01</v>
      </c>
      <c r="R32" s="23" t="s">
        <v>401</v>
      </c>
      <c r="S32" s="33" t="s">
        <v>401</v>
      </c>
      <c r="T32" s="34" t="s">
        <v>401</v>
      </c>
      <c r="U32" s="24" t="s">
        <v>401</v>
      </c>
      <c r="V32" s="35" t="s">
        <v>478</v>
      </c>
    </row>
    <row r="33" spans="1:22" hidden="1" x14ac:dyDescent="0.35">
      <c r="A33" s="27" t="s">
        <v>479</v>
      </c>
      <c r="B33" s="28" t="s">
        <v>480</v>
      </c>
      <c r="C33" s="34" t="str">
        <f>HYPERLINK("#S.16.01.01!$A$1", "S.16.01.01")</f>
        <v>S.16.01.01</v>
      </c>
      <c r="D33" s="23" t="s">
        <v>401</v>
      </c>
      <c r="E33" s="23" t="s">
        <v>401</v>
      </c>
      <c r="F33" s="24" t="s">
        <v>401</v>
      </c>
      <c r="G33" s="34" t="str">
        <f>HYPERLINK("#S.16.01.01!$A$1", "S.16.01.01")</f>
        <v>S.16.01.01</v>
      </c>
      <c r="H33" s="24" t="s">
        <v>401</v>
      </c>
      <c r="I33" s="36" t="s">
        <v>401</v>
      </c>
      <c r="J33" s="23" t="s">
        <v>401</v>
      </c>
      <c r="K33" s="23" t="s">
        <v>401</v>
      </c>
      <c r="L33" s="23" t="s">
        <v>401</v>
      </c>
      <c r="M33" s="23" t="s">
        <v>401</v>
      </c>
      <c r="N33" s="24" t="s">
        <v>401</v>
      </c>
      <c r="O33" s="34" t="str">
        <f>HYPERLINK("#S.16.01.01!$A$1", "S.16.01.01")</f>
        <v>S.16.01.01</v>
      </c>
      <c r="P33" s="23" t="s">
        <v>401</v>
      </c>
      <c r="Q33" s="36" t="str">
        <f>HYPERLINK("#S.16.01.01!$A$1", "S.16.01.01")</f>
        <v>S.16.01.01</v>
      </c>
      <c r="R33" s="23" t="s">
        <v>401</v>
      </c>
      <c r="S33" s="33" t="s">
        <v>401</v>
      </c>
      <c r="T33" s="34" t="s">
        <v>401</v>
      </c>
      <c r="U33" s="24" t="s">
        <v>401</v>
      </c>
      <c r="V33" s="35" t="s">
        <v>481</v>
      </c>
    </row>
    <row r="34" spans="1:22" x14ac:dyDescent="0.35">
      <c r="A34" s="250" t="s">
        <v>482</v>
      </c>
      <c r="B34" s="250" t="s">
        <v>299</v>
      </c>
      <c r="C34" s="36" t="str">
        <f>HYPERLINK("#S.17.01.01!$A$1", "S.17.01.01")</f>
        <v>S.17.01.01</v>
      </c>
      <c r="D34" s="23" t="str">
        <f>HYPERLINK("#S.17.01.02!$A$1", "S.17.01.02")</f>
        <v>S.17.01.02</v>
      </c>
      <c r="E34" s="23" t="s">
        <v>401</v>
      </c>
      <c r="F34" s="24" t="s">
        <v>401</v>
      </c>
      <c r="G34" s="34" t="str">
        <f>HYPERLINK("#S.17.01.01!$A$1", "S.17.01.01")</f>
        <v>S.17.01.01</v>
      </c>
      <c r="H34" s="24" t="str">
        <f>HYPERLINK("#S.17.01.02!$A$1", "S.17.01.02")</f>
        <v>S.17.01.02</v>
      </c>
      <c r="I34" s="36" t="s">
        <v>401</v>
      </c>
      <c r="J34" s="23" t="s">
        <v>401</v>
      </c>
      <c r="K34" s="23" t="s">
        <v>401</v>
      </c>
      <c r="L34" s="23" t="s">
        <v>401</v>
      </c>
      <c r="M34" s="23" t="s">
        <v>401</v>
      </c>
      <c r="N34" s="24" t="s">
        <v>401</v>
      </c>
      <c r="O34" s="34" t="str">
        <f>HYPERLINK("#S.17.01.01!$A$1", "S.17.01.01")</f>
        <v>S.17.01.01</v>
      </c>
      <c r="P34" s="23" t="str">
        <f>HYPERLINK("#S.17.01.02!$A$1", "S.17.01.02")</f>
        <v>S.17.01.02</v>
      </c>
      <c r="Q34" s="36" t="str">
        <f>HYPERLINK("#S.17.01.01!$A$1", "S.17.01.01")</f>
        <v>S.17.01.01</v>
      </c>
      <c r="R34" s="23" t="str">
        <f>HYPERLINK("#S.17.01.02!$A$1", "S.17.01.02")</f>
        <v>S.17.01.02</v>
      </c>
      <c r="S34" s="33" t="s">
        <v>401</v>
      </c>
      <c r="T34" s="34" t="str">
        <f>HYPERLINK("#S.17.01.02!$A$1", "S.17.01.02")</f>
        <v>S.17.01.02</v>
      </c>
      <c r="U34" s="24" t="s">
        <v>401</v>
      </c>
      <c r="V34" s="35" t="s">
        <v>483</v>
      </c>
    </row>
    <row r="35" spans="1:22" hidden="1" x14ac:dyDescent="0.35">
      <c r="A35" s="27" t="s">
        <v>484</v>
      </c>
      <c r="B35" s="28" t="s">
        <v>485</v>
      </c>
      <c r="C35" s="34" t="str">
        <f>HYPERLINK("#S.17.02.01!$A$1", "S.17.02.01")</f>
        <v>S.17.02.01</v>
      </c>
      <c r="D35" s="23" t="s">
        <v>401</v>
      </c>
      <c r="E35" s="23" t="s">
        <v>401</v>
      </c>
      <c r="F35" s="24" t="s">
        <v>401</v>
      </c>
      <c r="G35" s="34" t="str">
        <f>HYPERLINK("#S.17.02.01!$A$1", "S.17.02.01")</f>
        <v>S.17.02.01</v>
      </c>
      <c r="H35" s="24" t="s">
        <v>401</v>
      </c>
      <c r="I35" s="36" t="s">
        <v>401</v>
      </c>
      <c r="J35" s="23" t="s">
        <v>401</v>
      </c>
      <c r="K35" s="23" t="s">
        <v>401</v>
      </c>
      <c r="L35" s="23" t="s">
        <v>401</v>
      </c>
      <c r="M35" s="23" t="s">
        <v>401</v>
      </c>
      <c r="N35" s="24" t="s">
        <v>401</v>
      </c>
      <c r="O35" s="34" t="str">
        <f>HYPERLINK("#S.17.02.01!$A$1", "S.17.02.01")</f>
        <v>S.17.02.01</v>
      </c>
      <c r="P35" s="23" t="s">
        <v>401</v>
      </c>
      <c r="Q35" s="36" t="str">
        <f>HYPERLINK("#S.17.02.01!$A$1", "S.17.02.01")</f>
        <v>S.17.02.01</v>
      </c>
      <c r="R35" s="23" t="s">
        <v>401</v>
      </c>
      <c r="S35" s="33" t="s">
        <v>401</v>
      </c>
      <c r="T35" s="34" t="s">
        <v>401</v>
      </c>
      <c r="U35" s="24" t="s">
        <v>401</v>
      </c>
      <c r="V35" s="35" t="s">
        <v>486</v>
      </c>
    </row>
    <row r="36" spans="1:22" hidden="1" x14ac:dyDescent="0.35">
      <c r="A36" s="27" t="s">
        <v>487</v>
      </c>
      <c r="B36" s="28" t="s">
        <v>488</v>
      </c>
      <c r="C36" s="34" t="str">
        <f>HYPERLINK("#S.18.01.01!$A$1", "S.18.01.01")</f>
        <v>S.18.01.01</v>
      </c>
      <c r="D36" s="23" t="s">
        <v>401</v>
      </c>
      <c r="E36" s="23" t="s">
        <v>401</v>
      </c>
      <c r="F36" s="24" t="s">
        <v>401</v>
      </c>
      <c r="G36" s="34" t="str">
        <f>HYPERLINK("#S.18.01.01!$A$1", "S.18.01.01")</f>
        <v>S.18.01.01</v>
      </c>
      <c r="H36" s="24" t="s">
        <v>401</v>
      </c>
      <c r="I36" s="36" t="s">
        <v>401</v>
      </c>
      <c r="J36" s="23" t="s">
        <v>401</v>
      </c>
      <c r="K36" s="23" t="s">
        <v>401</v>
      </c>
      <c r="L36" s="23" t="s">
        <v>401</v>
      </c>
      <c r="M36" s="23" t="s">
        <v>401</v>
      </c>
      <c r="N36" s="24" t="s">
        <v>401</v>
      </c>
      <c r="O36" s="34" t="str">
        <f>HYPERLINK("#S.18.01.01!$A$1", "S.18.01.01")</f>
        <v>S.18.01.01</v>
      </c>
      <c r="P36" s="23" t="s">
        <v>401</v>
      </c>
      <c r="Q36" s="36" t="str">
        <f>HYPERLINK("#S.18.01.01!$A$1", "S.18.01.01")</f>
        <v>S.18.01.01</v>
      </c>
      <c r="R36" s="23" t="s">
        <v>401</v>
      </c>
      <c r="S36" s="33" t="s">
        <v>401</v>
      </c>
      <c r="T36" s="34" t="s">
        <v>401</v>
      </c>
      <c r="U36" s="24" t="s">
        <v>401</v>
      </c>
      <c r="V36" s="35" t="s">
        <v>489</v>
      </c>
    </row>
    <row r="37" spans="1:22" x14ac:dyDescent="0.35">
      <c r="A37" s="250" t="s">
        <v>490</v>
      </c>
      <c r="B37" s="250" t="s">
        <v>491</v>
      </c>
      <c r="C37" s="36" t="str">
        <f>HYPERLINK("#S.19.01.01!$A$1", "S.19.01.01")</f>
        <v>S.19.01.01</v>
      </c>
      <c r="D37" s="23" t="s">
        <v>401</v>
      </c>
      <c r="E37" s="23" t="s">
        <v>401</v>
      </c>
      <c r="F37" s="24" t="s">
        <v>401</v>
      </c>
      <c r="G37" s="34" t="str">
        <f>HYPERLINK("#S.19.01.01!$A$1", "S.19.01.01")</f>
        <v>S.19.01.01</v>
      </c>
      <c r="H37" s="24" t="s">
        <v>401</v>
      </c>
      <c r="I37" s="36" t="s">
        <v>401</v>
      </c>
      <c r="J37" s="23" t="s">
        <v>401</v>
      </c>
      <c r="K37" s="23" t="s">
        <v>401</v>
      </c>
      <c r="L37" s="23" t="s">
        <v>401</v>
      </c>
      <c r="M37" s="23" t="s">
        <v>401</v>
      </c>
      <c r="N37" s="24" t="s">
        <v>401</v>
      </c>
      <c r="O37" s="34" t="str">
        <f>HYPERLINK("#S.19.01.01!$A$1", "S.19.01.01")</f>
        <v>S.19.01.01</v>
      </c>
      <c r="P37" s="23" t="s">
        <v>401</v>
      </c>
      <c r="Q37" s="36" t="str">
        <f>HYPERLINK("#S.19.01.01!$A$1", "S.19.01.01")</f>
        <v>S.19.01.01</v>
      </c>
      <c r="R37" s="23" t="s">
        <v>401</v>
      </c>
      <c r="S37" s="33" t="s">
        <v>401</v>
      </c>
      <c r="T37" s="38" t="s">
        <v>492</v>
      </c>
      <c r="U37" s="24" t="s">
        <v>401</v>
      </c>
      <c r="V37" s="35" t="s">
        <v>493</v>
      </c>
    </row>
    <row r="38" spans="1:22" hidden="1" x14ac:dyDescent="0.35">
      <c r="A38" s="27" t="s">
        <v>494</v>
      </c>
      <c r="B38" s="28" t="s">
        <v>495</v>
      </c>
      <c r="C38" s="34" t="str">
        <f>HYPERLINK("#S.20.01.01!$A$1", "S.20.01.01")</f>
        <v>S.20.01.01</v>
      </c>
      <c r="D38" s="23" t="s">
        <v>401</v>
      </c>
      <c r="E38" s="23" t="s">
        <v>401</v>
      </c>
      <c r="F38" s="24" t="s">
        <v>401</v>
      </c>
      <c r="G38" s="34" t="str">
        <f>HYPERLINK("#S.20.01.01!$A$1", "S.20.01.01")</f>
        <v>S.20.01.01</v>
      </c>
      <c r="H38" s="24" t="s">
        <v>401</v>
      </c>
      <c r="I38" s="36" t="s">
        <v>401</v>
      </c>
      <c r="J38" s="23" t="s">
        <v>401</v>
      </c>
      <c r="K38" s="23" t="s">
        <v>401</v>
      </c>
      <c r="L38" s="23" t="s">
        <v>401</v>
      </c>
      <c r="M38" s="23" t="s">
        <v>401</v>
      </c>
      <c r="N38" s="24" t="s">
        <v>401</v>
      </c>
      <c r="O38" s="34" t="str">
        <f>HYPERLINK("#S.20.01.01!$A$1", "S.20.01.01")</f>
        <v>S.20.01.01</v>
      </c>
      <c r="P38" s="23" t="s">
        <v>401</v>
      </c>
      <c r="Q38" s="36" t="str">
        <f>HYPERLINK("#S.20.01.01!$A$1", "S.20.01.01")</f>
        <v>S.20.01.01</v>
      </c>
      <c r="R38" s="23" t="s">
        <v>401</v>
      </c>
      <c r="S38" s="33" t="s">
        <v>401</v>
      </c>
      <c r="T38" s="34" t="s">
        <v>401</v>
      </c>
      <c r="U38" s="24" t="s">
        <v>401</v>
      </c>
      <c r="V38" s="35" t="s">
        <v>496</v>
      </c>
    </row>
    <row r="39" spans="1:22" hidden="1" x14ac:dyDescent="0.35">
      <c r="A39" s="27" t="s">
        <v>497</v>
      </c>
      <c r="B39" s="28" t="s">
        <v>498</v>
      </c>
      <c r="C39" s="34" t="str">
        <f>HYPERLINK("#S.21.01.01!$A$1", "S.21.01.01")</f>
        <v>S.21.01.01</v>
      </c>
      <c r="D39" s="23" t="s">
        <v>401</v>
      </c>
      <c r="E39" s="23" t="s">
        <v>401</v>
      </c>
      <c r="F39" s="24" t="s">
        <v>401</v>
      </c>
      <c r="G39" s="34" t="str">
        <f>HYPERLINK("#S.21.01.01!$A$1", "S.21.01.01")</f>
        <v>S.21.01.01</v>
      </c>
      <c r="H39" s="24" t="s">
        <v>401</v>
      </c>
      <c r="I39" s="36" t="s">
        <v>401</v>
      </c>
      <c r="J39" s="23" t="s">
        <v>401</v>
      </c>
      <c r="K39" s="23" t="s">
        <v>401</v>
      </c>
      <c r="L39" s="23" t="s">
        <v>401</v>
      </c>
      <c r="M39" s="23" t="s">
        <v>401</v>
      </c>
      <c r="N39" s="24" t="s">
        <v>401</v>
      </c>
      <c r="O39" s="34" t="str">
        <f>HYPERLINK("#S.21.01.01!$A$1", "S.21.01.01")</f>
        <v>S.21.01.01</v>
      </c>
      <c r="P39" s="23" t="s">
        <v>401</v>
      </c>
      <c r="Q39" s="36" t="str">
        <f>HYPERLINK("#S.21.01.01!$A$1", "S.21.01.01")</f>
        <v>S.21.01.01</v>
      </c>
      <c r="R39" s="23" t="s">
        <v>401</v>
      </c>
      <c r="S39" s="33" t="s">
        <v>401</v>
      </c>
      <c r="T39" s="34" t="s">
        <v>401</v>
      </c>
      <c r="U39" s="24" t="s">
        <v>401</v>
      </c>
      <c r="V39" s="35" t="s">
        <v>499</v>
      </c>
    </row>
    <row r="40" spans="1:22" hidden="1" x14ac:dyDescent="0.35">
      <c r="A40" s="27" t="s">
        <v>500</v>
      </c>
      <c r="B40" s="28" t="s">
        <v>501</v>
      </c>
      <c r="C40" s="34" t="str">
        <f>HYPERLINK("#S.21.02.01!$A$1", "S.21.02.01")</f>
        <v>S.21.02.01</v>
      </c>
      <c r="D40" s="23" t="s">
        <v>401</v>
      </c>
      <c r="E40" s="23" t="s">
        <v>401</v>
      </c>
      <c r="F40" s="24" t="s">
        <v>401</v>
      </c>
      <c r="G40" s="34" t="str">
        <f>HYPERLINK("#S.21.02.01!$A$1", "S.21.02.01")</f>
        <v>S.21.02.01</v>
      </c>
      <c r="H40" s="24" t="s">
        <v>401</v>
      </c>
      <c r="I40" s="36" t="s">
        <v>401</v>
      </c>
      <c r="J40" s="23" t="s">
        <v>401</v>
      </c>
      <c r="K40" s="23" t="s">
        <v>401</v>
      </c>
      <c r="L40" s="23" t="s">
        <v>401</v>
      </c>
      <c r="M40" s="23" t="s">
        <v>401</v>
      </c>
      <c r="N40" s="24" t="s">
        <v>401</v>
      </c>
      <c r="O40" s="34" t="str">
        <f>HYPERLINK("#S.21.02.01!$A$1", "S.21.02.01")</f>
        <v>S.21.02.01</v>
      </c>
      <c r="P40" s="23" t="s">
        <v>401</v>
      </c>
      <c r="Q40" s="36" t="str">
        <f>HYPERLINK("#S.21.02.01!$A$1", "S.21.02.01")</f>
        <v>S.21.02.01</v>
      </c>
      <c r="R40" s="23" t="s">
        <v>401</v>
      </c>
      <c r="S40" s="33" t="s">
        <v>401</v>
      </c>
      <c r="T40" s="34" t="s">
        <v>401</v>
      </c>
      <c r="U40" s="24" t="s">
        <v>401</v>
      </c>
      <c r="V40" s="35" t="s">
        <v>502</v>
      </c>
    </row>
    <row r="41" spans="1:22" hidden="1" x14ac:dyDescent="0.35">
      <c r="A41" s="27" t="s">
        <v>503</v>
      </c>
      <c r="B41" s="28" t="s">
        <v>504</v>
      </c>
      <c r="C41" s="34" t="str">
        <f>HYPERLINK("#S.21.03.01!$A$1", "S.21.03.01")</f>
        <v>S.21.03.01</v>
      </c>
      <c r="D41" s="23" t="s">
        <v>401</v>
      </c>
      <c r="E41" s="23" t="s">
        <v>401</v>
      </c>
      <c r="F41" s="24" t="s">
        <v>401</v>
      </c>
      <c r="G41" s="34" t="str">
        <f>HYPERLINK("#S.21.03.01!$A$1", "S.21.03.01")</f>
        <v>S.21.03.01</v>
      </c>
      <c r="H41" s="24" t="s">
        <v>401</v>
      </c>
      <c r="I41" s="36" t="s">
        <v>401</v>
      </c>
      <c r="J41" s="23" t="s">
        <v>401</v>
      </c>
      <c r="K41" s="23" t="s">
        <v>401</v>
      </c>
      <c r="L41" s="23" t="s">
        <v>401</v>
      </c>
      <c r="M41" s="23" t="s">
        <v>401</v>
      </c>
      <c r="N41" s="24" t="s">
        <v>401</v>
      </c>
      <c r="O41" s="34" t="str">
        <f>HYPERLINK("#S.21.03.01!$A$1", "S.21.03.01")</f>
        <v>S.21.03.01</v>
      </c>
      <c r="P41" s="23" t="s">
        <v>401</v>
      </c>
      <c r="Q41" s="36" t="str">
        <f>HYPERLINK("#S.21.03.01!$A$1", "S.21.03.01")</f>
        <v>S.21.03.01</v>
      </c>
      <c r="R41" s="23" t="s">
        <v>401</v>
      </c>
      <c r="S41" s="33" t="s">
        <v>401</v>
      </c>
      <c r="T41" s="34" t="s">
        <v>401</v>
      </c>
      <c r="U41" s="24" t="s">
        <v>401</v>
      </c>
      <c r="V41" s="35" t="s">
        <v>505</v>
      </c>
    </row>
    <row r="42" spans="1:22" hidden="1" x14ac:dyDescent="0.35">
      <c r="A42" s="27" t="s">
        <v>506</v>
      </c>
      <c r="B42" s="28" t="s">
        <v>507</v>
      </c>
      <c r="C42" s="34" t="str">
        <f>HYPERLINK("#S.22.01.01!$A$1", "S.22.01.01")</f>
        <v>S.22.01.01</v>
      </c>
      <c r="D42" s="23" t="s">
        <v>401</v>
      </c>
      <c r="E42" s="23" t="str">
        <f>HYPERLINK("#S.22.01.04!$A$1", "S.22.01.04")</f>
        <v>S.22.01.04</v>
      </c>
      <c r="F42" s="24" t="s">
        <v>401</v>
      </c>
      <c r="G42" s="34" t="str">
        <f>HYPERLINK("#S.22.01.01!$A$1", "S.22.01.01")</f>
        <v>S.22.01.01</v>
      </c>
      <c r="H42" s="24" t="s">
        <v>401</v>
      </c>
      <c r="I42" s="36" t="s">
        <v>401</v>
      </c>
      <c r="J42" s="23" t="s">
        <v>401</v>
      </c>
      <c r="K42" s="23" t="s">
        <v>401</v>
      </c>
      <c r="L42" s="23" t="s">
        <v>401</v>
      </c>
      <c r="M42" s="23" t="s">
        <v>401</v>
      </c>
      <c r="N42" s="24" t="s">
        <v>401</v>
      </c>
      <c r="O42" s="34" t="str">
        <f>HYPERLINK("#S.22.01.01!$A$1", "S.22.01.01")</f>
        <v>S.22.01.01</v>
      </c>
      <c r="P42" s="23" t="s">
        <v>401</v>
      </c>
      <c r="Q42" s="36" t="str">
        <f>HYPERLINK("#S.22.01.01!$A$1", "S.22.01.01")</f>
        <v>S.22.01.01</v>
      </c>
      <c r="R42" s="23" t="s">
        <v>401</v>
      </c>
      <c r="S42" s="33" t="s">
        <v>401</v>
      </c>
      <c r="T42" s="38" t="s">
        <v>508</v>
      </c>
      <c r="U42" s="39" t="s">
        <v>509</v>
      </c>
      <c r="V42" s="35" t="s">
        <v>510</v>
      </c>
    </row>
    <row r="43" spans="1:22" hidden="1" x14ac:dyDescent="0.35">
      <c r="A43" s="27" t="s">
        <v>511</v>
      </c>
      <c r="B43" s="28" t="s">
        <v>512</v>
      </c>
      <c r="C43" s="34" t="str">
        <f>HYPERLINK("#S.22.04.01!$A$1", "S.22.04.01")</f>
        <v>S.22.04.01</v>
      </c>
      <c r="D43" s="23" t="s">
        <v>401</v>
      </c>
      <c r="E43" s="23" t="s">
        <v>401</v>
      </c>
      <c r="F43" s="24" t="s">
        <v>401</v>
      </c>
      <c r="G43" s="34" t="str">
        <f>HYPERLINK("#S.22.04.01!$A$1", "S.22.04.01")</f>
        <v>S.22.04.01</v>
      </c>
      <c r="H43" s="24" t="s">
        <v>401</v>
      </c>
      <c r="I43" s="36" t="s">
        <v>401</v>
      </c>
      <c r="J43" s="23" t="s">
        <v>401</v>
      </c>
      <c r="K43" s="23" t="s">
        <v>401</v>
      </c>
      <c r="L43" s="23" t="s">
        <v>401</v>
      </c>
      <c r="M43" s="23" t="s">
        <v>401</v>
      </c>
      <c r="N43" s="24" t="s">
        <v>401</v>
      </c>
      <c r="O43" s="34" t="str">
        <f>HYPERLINK("#S.22.04.01!$A$1", "S.22.04.01")</f>
        <v>S.22.04.01</v>
      </c>
      <c r="P43" s="23" t="s">
        <v>401</v>
      </c>
      <c r="Q43" s="36" t="str">
        <f>HYPERLINK("#S.22.04.01!$A$1", "S.22.04.01")</f>
        <v>S.22.04.01</v>
      </c>
      <c r="R43" s="23" t="s">
        <v>401</v>
      </c>
      <c r="S43" s="33" t="s">
        <v>401</v>
      </c>
      <c r="T43" s="34" t="s">
        <v>401</v>
      </c>
      <c r="U43" s="24" t="s">
        <v>401</v>
      </c>
      <c r="V43" s="35" t="s">
        <v>513</v>
      </c>
    </row>
    <row r="44" spans="1:22" hidden="1" x14ac:dyDescent="0.35">
      <c r="A44" s="27" t="s">
        <v>514</v>
      </c>
      <c r="B44" s="28" t="s">
        <v>515</v>
      </c>
      <c r="C44" s="34" t="str">
        <f>HYPERLINK("#S.22.05.01!$A$1", "S.22.05.01")</f>
        <v>S.22.05.01</v>
      </c>
      <c r="D44" s="23" t="s">
        <v>401</v>
      </c>
      <c r="E44" s="23" t="s">
        <v>401</v>
      </c>
      <c r="F44" s="24" t="s">
        <v>401</v>
      </c>
      <c r="G44" s="34" t="str">
        <f>HYPERLINK("#S.22.05.01!$A$1", "S.22.05.01")</f>
        <v>S.22.05.01</v>
      </c>
      <c r="H44" s="24" t="s">
        <v>401</v>
      </c>
      <c r="I44" s="36" t="s">
        <v>401</v>
      </c>
      <c r="J44" s="23" t="s">
        <v>401</v>
      </c>
      <c r="K44" s="23" t="s">
        <v>401</v>
      </c>
      <c r="L44" s="23" t="s">
        <v>401</v>
      </c>
      <c r="M44" s="23" t="s">
        <v>401</v>
      </c>
      <c r="N44" s="24" t="s">
        <v>401</v>
      </c>
      <c r="O44" s="34" t="str">
        <f>HYPERLINK("#S.22.05.01!$A$1", "S.22.05.01")</f>
        <v>S.22.05.01</v>
      </c>
      <c r="P44" s="23" t="s">
        <v>401</v>
      </c>
      <c r="Q44" s="36" t="str">
        <f>HYPERLINK("#S.22.05.01!$A$1", "S.22.05.01")</f>
        <v>S.22.05.01</v>
      </c>
      <c r="R44" s="23" t="s">
        <v>401</v>
      </c>
      <c r="S44" s="33" t="s">
        <v>401</v>
      </c>
      <c r="T44" s="34" t="s">
        <v>401</v>
      </c>
      <c r="U44" s="24" t="s">
        <v>401</v>
      </c>
      <c r="V44" s="35" t="s">
        <v>516</v>
      </c>
    </row>
    <row r="45" spans="1:22" hidden="1" x14ac:dyDescent="0.35">
      <c r="A45" s="27" t="s">
        <v>517</v>
      </c>
      <c r="B45" s="1" t="s">
        <v>518</v>
      </c>
      <c r="C45" s="34" t="str">
        <f>HYPERLINK("#S.22.06.01!$A$1", "S.22.06.01")</f>
        <v>S.22.06.01</v>
      </c>
      <c r="D45" s="23" t="s">
        <v>401</v>
      </c>
      <c r="E45" s="23" t="s">
        <v>401</v>
      </c>
      <c r="F45" s="24" t="s">
        <v>401</v>
      </c>
      <c r="G45" s="34" t="str">
        <f>HYPERLINK("#S.22.06.01!$A$1", "S.22.06.01")</f>
        <v>S.22.06.01</v>
      </c>
      <c r="H45" s="24" t="s">
        <v>401</v>
      </c>
      <c r="I45" s="36" t="s">
        <v>401</v>
      </c>
      <c r="J45" s="23" t="s">
        <v>401</v>
      </c>
      <c r="K45" s="23" t="s">
        <v>401</v>
      </c>
      <c r="L45" s="23" t="s">
        <v>401</v>
      </c>
      <c r="M45" s="23" t="s">
        <v>401</v>
      </c>
      <c r="N45" s="24" t="s">
        <v>401</v>
      </c>
      <c r="O45" s="23" t="str">
        <f>HYPERLINK("#S.22.06.01!$A$1", "S.22.06.01")</f>
        <v>S.22.06.01</v>
      </c>
      <c r="P45" s="23" t="s">
        <v>401</v>
      </c>
      <c r="Q45" s="23" t="str">
        <f>HYPERLINK("#S.22.06.01!$A$1", "S.22.06.01")</f>
        <v>S.22.06.01</v>
      </c>
      <c r="R45" s="23" t="s">
        <v>401</v>
      </c>
      <c r="S45" s="33" t="s">
        <v>401</v>
      </c>
      <c r="T45" s="34" t="s">
        <v>401</v>
      </c>
      <c r="U45" s="24" t="s">
        <v>401</v>
      </c>
      <c r="V45" s="35" t="s">
        <v>519</v>
      </c>
    </row>
    <row r="46" spans="1:22" x14ac:dyDescent="0.35">
      <c r="A46" s="250" t="s">
        <v>520</v>
      </c>
      <c r="B46" s="250" t="s">
        <v>521</v>
      </c>
      <c r="C46" s="36" t="str">
        <f>HYPERLINK("#S.23.01.01!$A$1", "S.23.01.01")</f>
        <v>S.23.01.01</v>
      </c>
      <c r="D46" s="23" t="str">
        <f>HYPERLINK("#S.23.01.01!$A$1", "S.23.01.01")</f>
        <v>S.23.01.01</v>
      </c>
      <c r="E46" s="40" t="str">
        <f>HYPERLINK("#S.23.01.04!$A$1", "S.23.01.04")</f>
        <v>S.23.01.04</v>
      </c>
      <c r="F46" s="24" t="str">
        <f>HYPERLINK("#S.23.01.04!$A$1", "S.23.01.04")</f>
        <v>S.23.01.04</v>
      </c>
      <c r="G46" s="34" t="str">
        <f>HYPERLINK("#S.23.01.07!$A$1", "S.23.01.07")</f>
        <v>S.23.01.07</v>
      </c>
      <c r="H46" s="24" t="str">
        <f>HYPERLINK("#S.23.01.07!$A$1", "S.23.01.07")</f>
        <v>S.23.01.07</v>
      </c>
      <c r="I46" s="36" t="s">
        <v>401</v>
      </c>
      <c r="J46" s="23" t="s">
        <v>401</v>
      </c>
      <c r="K46" s="23" t="s">
        <v>401</v>
      </c>
      <c r="L46" s="23" t="str">
        <f>HYPERLINK("#S.23.01.13!$o$1", "S.23.01.13")</f>
        <v>S.23.01.13</v>
      </c>
      <c r="M46" s="23" t="s">
        <v>401</v>
      </c>
      <c r="N46" s="24" t="s">
        <v>401</v>
      </c>
      <c r="O46" s="23" t="str">
        <f>HYPERLINK("#S.23.01.01!$A$1", "S.23.01.01")</f>
        <v>S.23.01.01</v>
      </c>
      <c r="P46" s="23" t="str">
        <f>HYPERLINK("#S.23.01.01!$A$1", "S.23.01.01")</f>
        <v>S.23.01.01</v>
      </c>
      <c r="Q46" s="36" t="str">
        <f>HYPERLINK("#S.23.01.07!$A$1", "S.23.01.07")</f>
        <v>S.23.01.07</v>
      </c>
      <c r="R46" s="23" t="str">
        <f>HYPERLINK("#S.23.01.07!$A$1", "S.23.01.07")</f>
        <v>S.23.01.07</v>
      </c>
      <c r="S46" s="33" t="s">
        <v>401</v>
      </c>
      <c r="T46" s="34" t="str">
        <f>HYPERLINK("#S.23.01.01!$A$1", "S.23.01.01")</f>
        <v>S.23.01.01</v>
      </c>
      <c r="U46" s="39" t="s">
        <v>522</v>
      </c>
      <c r="V46" s="35" t="s">
        <v>523</v>
      </c>
    </row>
    <row r="47" spans="1:22" hidden="1" x14ac:dyDescent="0.35">
      <c r="A47" s="27" t="s">
        <v>524</v>
      </c>
      <c r="B47" s="28" t="s">
        <v>525</v>
      </c>
      <c r="C47" s="34" t="str">
        <f>HYPERLINK("#S.23.02.01!$A$1", "S.23.02.01")</f>
        <v>S.23.02.01</v>
      </c>
      <c r="D47" s="23" t="s">
        <v>401</v>
      </c>
      <c r="E47" s="23" t="str">
        <f>HYPERLINK("#S.23.02.04!$A$1", "S.23.02.04")</f>
        <v>S.23.02.04</v>
      </c>
      <c r="F47" s="24" t="s">
        <v>401</v>
      </c>
      <c r="G47" s="34" t="s">
        <v>401</v>
      </c>
      <c r="H47" s="24" t="s">
        <v>401</v>
      </c>
      <c r="I47" s="36" t="s">
        <v>401</v>
      </c>
      <c r="J47" s="23" t="s">
        <v>401</v>
      </c>
      <c r="K47" s="23" t="s">
        <v>401</v>
      </c>
      <c r="L47" s="23" t="s">
        <v>401</v>
      </c>
      <c r="M47" s="23" t="s">
        <v>401</v>
      </c>
      <c r="N47" s="24" t="s">
        <v>401</v>
      </c>
      <c r="O47" s="34" t="str">
        <f>HYPERLINK("#S.23.02.01!$A$1", "S.23.02.01")</f>
        <v>S.23.02.01</v>
      </c>
      <c r="P47" s="23" t="s">
        <v>401</v>
      </c>
      <c r="Q47" s="36" t="s">
        <v>401</v>
      </c>
      <c r="R47" s="23" t="s">
        <v>401</v>
      </c>
      <c r="S47" s="33" t="s">
        <v>401</v>
      </c>
      <c r="T47" s="34" t="s">
        <v>401</v>
      </c>
      <c r="U47" s="24" t="s">
        <v>401</v>
      </c>
      <c r="V47" s="35" t="s">
        <v>526</v>
      </c>
    </row>
    <row r="48" spans="1:22" hidden="1" x14ac:dyDescent="0.35">
      <c r="A48" s="27" t="s">
        <v>527</v>
      </c>
      <c r="B48" s="28" t="s">
        <v>528</v>
      </c>
      <c r="C48" s="34" t="str">
        <f>HYPERLINK("#S.23.03.01!$A$1", "S.23.03.01")</f>
        <v>S.23.03.01</v>
      </c>
      <c r="D48" s="23" t="s">
        <v>401</v>
      </c>
      <c r="E48" s="23" t="str">
        <f>HYPERLINK("#S.23.03.04!$A$1", "S.23.03.04")</f>
        <v>S.23.03.04</v>
      </c>
      <c r="F48" s="24" t="s">
        <v>401</v>
      </c>
      <c r="G48" s="34" t="str">
        <f>HYPERLINK("#S.23.03.07!$A$1", "S.23.03.07")</f>
        <v>S.23.03.07</v>
      </c>
      <c r="H48" s="24" t="s">
        <v>401</v>
      </c>
      <c r="I48" s="36" t="s">
        <v>401</v>
      </c>
      <c r="J48" s="23" t="s">
        <v>401</v>
      </c>
      <c r="K48" s="23" t="s">
        <v>401</v>
      </c>
      <c r="L48" s="23" t="s">
        <v>401</v>
      </c>
      <c r="M48" s="23" t="s">
        <v>401</v>
      </c>
      <c r="N48" s="24" t="s">
        <v>401</v>
      </c>
      <c r="O48" s="34" t="str">
        <f>HYPERLINK("#S.23.03.01!$A$1", "S.23.03.01")</f>
        <v>S.23.03.01</v>
      </c>
      <c r="P48" s="23" t="s">
        <v>401</v>
      </c>
      <c r="Q48" s="36" t="str">
        <f>HYPERLINK("#S.23.03.07!$A$1", "S.23.03.07")</f>
        <v>S.23.03.07</v>
      </c>
      <c r="R48" s="23" t="s">
        <v>401</v>
      </c>
      <c r="S48" s="33" t="s">
        <v>401</v>
      </c>
      <c r="T48" s="34" t="s">
        <v>401</v>
      </c>
      <c r="U48" s="24" t="s">
        <v>401</v>
      </c>
      <c r="V48" s="35" t="s">
        <v>529</v>
      </c>
    </row>
    <row r="49" spans="1:22" hidden="1" x14ac:dyDescent="0.35">
      <c r="A49" s="27" t="s">
        <v>530</v>
      </c>
      <c r="B49" s="28" t="s">
        <v>531</v>
      </c>
      <c r="C49" s="41" t="str">
        <f>HYPERLINK("#S.23.04.01!$A$1", "S.23.04.01")</f>
        <v>S.23.04.01</v>
      </c>
      <c r="D49" s="40" t="s">
        <v>401</v>
      </c>
      <c r="E49" s="30" t="str">
        <f>HYPERLINK("#S.23.04.04!$A$1", "S.23.04.04")</f>
        <v>S.23.04.04</v>
      </c>
      <c r="F49" s="42" t="s">
        <v>401</v>
      </c>
      <c r="G49" s="41" t="s">
        <v>401</v>
      </c>
      <c r="H49" s="42" t="s">
        <v>401</v>
      </c>
      <c r="I49" s="43" t="s">
        <v>401</v>
      </c>
      <c r="J49" s="40" t="s">
        <v>401</v>
      </c>
      <c r="K49" s="40" t="s">
        <v>401</v>
      </c>
      <c r="L49" s="40" t="s">
        <v>401</v>
      </c>
      <c r="M49" s="40" t="s">
        <v>401</v>
      </c>
      <c r="N49" s="42" t="s">
        <v>401</v>
      </c>
      <c r="O49" s="41" t="str">
        <f>HYPERLINK("#S.23.04.01!$A$1", "S.23.04.01")</f>
        <v>S.23.04.01</v>
      </c>
      <c r="P49" s="40" t="s">
        <v>401</v>
      </c>
      <c r="Q49" s="43" t="s">
        <v>401</v>
      </c>
      <c r="R49" s="23" t="s">
        <v>401</v>
      </c>
      <c r="S49" s="33" t="s">
        <v>401</v>
      </c>
      <c r="T49" s="34" t="s">
        <v>401</v>
      </c>
      <c r="U49" s="24" t="s">
        <v>401</v>
      </c>
      <c r="V49" s="35" t="s">
        <v>532</v>
      </c>
    </row>
    <row r="50" spans="1:22" hidden="1" x14ac:dyDescent="0.35">
      <c r="A50" s="27" t="s">
        <v>533</v>
      </c>
      <c r="B50" s="28" t="s">
        <v>534</v>
      </c>
      <c r="C50" s="41" t="str">
        <f>HYPERLINK("#S.24.01.01!$A$1", "S.24.01.01")</f>
        <v>S.24.01.01</v>
      </c>
      <c r="D50" s="40" t="s">
        <v>401</v>
      </c>
      <c r="E50" s="40" t="s">
        <v>401</v>
      </c>
      <c r="F50" s="42" t="s">
        <v>401</v>
      </c>
      <c r="G50" s="41" t="str">
        <f>HYPERLINK("#S.24.01.01!$A$1", "S.24.01.01")</f>
        <v>S.24.01.01</v>
      </c>
      <c r="H50" s="42" t="s">
        <v>401</v>
      </c>
      <c r="I50" s="43" t="s">
        <v>401</v>
      </c>
      <c r="J50" s="40" t="s">
        <v>401</v>
      </c>
      <c r="K50" s="40" t="s">
        <v>401</v>
      </c>
      <c r="L50" s="40" t="s">
        <v>401</v>
      </c>
      <c r="M50" s="40" t="s">
        <v>401</v>
      </c>
      <c r="N50" s="42" t="s">
        <v>401</v>
      </c>
      <c r="O50" s="41" t="str">
        <f>HYPERLINK("#S.24.01.01!$A$1", "S.24.01.01")</f>
        <v>S.24.01.01</v>
      </c>
      <c r="P50" s="40" t="s">
        <v>401</v>
      </c>
      <c r="Q50" s="43" t="str">
        <f>HYPERLINK("#S.24.01.01!$A$1", "S.24.01.01")</f>
        <v>S.24.01.01</v>
      </c>
      <c r="R50" s="23" t="s">
        <v>401</v>
      </c>
      <c r="S50" s="33" t="s">
        <v>401</v>
      </c>
      <c r="T50" s="34" t="s">
        <v>401</v>
      </c>
      <c r="U50" s="24" t="s">
        <v>401</v>
      </c>
      <c r="V50" s="35" t="s">
        <v>535</v>
      </c>
    </row>
    <row r="51" spans="1:22" hidden="1" x14ac:dyDescent="0.35">
      <c r="A51" s="27" t="s">
        <v>536</v>
      </c>
      <c r="B51" s="28" t="s">
        <v>537</v>
      </c>
      <c r="C51" s="29" t="str">
        <f>HYPERLINK("#S.25.01.01!$A$1", "S.25.01.01")</f>
        <v>S.25.01.01</v>
      </c>
      <c r="D51" s="23" t="s">
        <v>401</v>
      </c>
      <c r="E51" s="23" t="str">
        <f>HYPERLINK("#S.25.01.04!$A$1", "S.25.01.04")</f>
        <v>S.25.01.04</v>
      </c>
      <c r="F51" s="24" t="s">
        <v>401</v>
      </c>
      <c r="G51" s="29" t="str">
        <f>HYPERLINK("#S.25.01.01!$A$1", "S.25.01.01")</f>
        <v>S.25.01.01</v>
      </c>
      <c r="H51" s="24" t="s">
        <v>401</v>
      </c>
      <c r="I51" s="36" t="s">
        <v>401</v>
      </c>
      <c r="J51" s="23" t="s">
        <v>401</v>
      </c>
      <c r="K51" s="23" t="s">
        <v>401</v>
      </c>
      <c r="L51" s="23" t="s">
        <v>401</v>
      </c>
      <c r="M51" s="23" t="s">
        <v>401</v>
      </c>
      <c r="N51" s="24" t="s">
        <v>401</v>
      </c>
      <c r="O51" s="29" t="str">
        <f>HYPERLINK("#S.25.01.01!$A$1", "S.25.01.01")</f>
        <v>S.25.01.01</v>
      </c>
      <c r="P51" s="23" t="s">
        <v>401</v>
      </c>
      <c r="Q51" s="32" t="str">
        <f>HYPERLINK("#S.25.01.01!$A$1", "S.25.01.01")</f>
        <v>S.25.01.01</v>
      </c>
      <c r="R51" s="23" t="s">
        <v>401</v>
      </c>
      <c r="S51" s="33" t="s">
        <v>401</v>
      </c>
      <c r="T51" s="44" t="s">
        <v>538</v>
      </c>
      <c r="U51" s="45" t="s">
        <v>539</v>
      </c>
      <c r="V51" s="35" t="s">
        <v>540</v>
      </c>
    </row>
    <row r="52" spans="1:22" x14ac:dyDescent="0.35">
      <c r="A52" s="250" t="s">
        <v>541</v>
      </c>
      <c r="B52" s="250" t="s">
        <v>542</v>
      </c>
      <c r="C52" s="32" t="str">
        <f>HYPERLINK("#S.25.02.01!$A$1", "S.25.02.01")</f>
        <v>S.25.02.01</v>
      </c>
      <c r="D52" s="23" t="s">
        <v>401</v>
      </c>
      <c r="E52" s="46" t="str">
        <f>HYPERLINK("#S.25.02.04!$A$1", "S.25.02.04")</f>
        <v>S.25.02.04</v>
      </c>
      <c r="F52" s="24" t="s">
        <v>401</v>
      </c>
      <c r="G52" s="29" t="str">
        <f>HYPERLINK("#S.25.02.01!$A$1", "S.25.02.01")</f>
        <v>S.25.02.01</v>
      </c>
      <c r="H52" s="24" t="s">
        <v>401</v>
      </c>
      <c r="I52" s="36" t="s">
        <v>401</v>
      </c>
      <c r="J52" s="23" t="s">
        <v>401</v>
      </c>
      <c r="K52" s="23" t="s">
        <v>401</v>
      </c>
      <c r="L52" s="23" t="s">
        <v>401</v>
      </c>
      <c r="M52" s="23" t="s">
        <v>401</v>
      </c>
      <c r="N52" s="24" t="s">
        <v>401</v>
      </c>
      <c r="O52" s="29" t="str">
        <f>HYPERLINK("#S.25.02.01!$A$1", "S.25.02.01")</f>
        <v>S.25.02.01</v>
      </c>
      <c r="P52" s="23" t="s">
        <v>401</v>
      </c>
      <c r="Q52" s="32" t="str">
        <f>HYPERLINK("#S.25.02.01!$A$1", "S.25.02.01")</f>
        <v>S.25.02.01</v>
      </c>
      <c r="R52" s="23" t="s">
        <v>401</v>
      </c>
      <c r="S52" s="33" t="s">
        <v>401</v>
      </c>
      <c r="T52" s="44" t="s">
        <v>543</v>
      </c>
      <c r="U52" s="47" t="s">
        <v>544</v>
      </c>
      <c r="V52" s="35" t="s">
        <v>545</v>
      </c>
    </row>
    <row r="53" spans="1:22" hidden="1" x14ac:dyDescent="0.35">
      <c r="A53" s="27" t="s">
        <v>546</v>
      </c>
      <c r="B53" s="28" t="s">
        <v>547</v>
      </c>
      <c r="C53" s="29" t="str">
        <f>HYPERLINK("#S.25.03.01!$A$1", "S.25.03.01")</f>
        <v>S.25.03.01</v>
      </c>
      <c r="D53" s="23" t="s">
        <v>401</v>
      </c>
      <c r="E53" s="46" t="str">
        <f>HYPERLINK("#S.25.03.04!$A$1", "S.25.03.04")</f>
        <v>S.25.03.04</v>
      </c>
      <c r="F53" s="24" t="s">
        <v>401</v>
      </c>
      <c r="G53" s="29" t="str">
        <f>HYPERLINK("#S.25.03.01!$A$1", "S.25.03.01")</f>
        <v>S.25.03.01</v>
      </c>
      <c r="H53" s="24" t="s">
        <v>401</v>
      </c>
      <c r="I53" s="36" t="s">
        <v>401</v>
      </c>
      <c r="J53" s="23" t="s">
        <v>401</v>
      </c>
      <c r="K53" s="23" t="s">
        <v>401</v>
      </c>
      <c r="L53" s="23" t="s">
        <v>401</v>
      </c>
      <c r="M53" s="23" t="s">
        <v>401</v>
      </c>
      <c r="N53" s="24" t="s">
        <v>401</v>
      </c>
      <c r="O53" s="29" t="str">
        <f>HYPERLINK("#S.25.03.01!$A$1", "S.25.03.01")</f>
        <v>S.25.03.01</v>
      </c>
      <c r="P53" s="23" t="s">
        <v>401</v>
      </c>
      <c r="Q53" s="32" t="str">
        <f>HYPERLINK("#S.25.03.01!$A$1", "S.25.03.01")</f>
        <v>S.25.03.01</v>
      </c>
      <c r="R53" s="23" t="s">
        <v>401</v>
      </c>
      <c r="S53" s="33" t="s">
        <v>401</v>
      </c>
      <c r="T53" s="44" t="s">
        <v>548</v>
      </c>
      <c r="U53" s="47" t="s">
        <v>549</v>
      </c>
      <c r="V53" s="35" t="s">
        <v>550</v>
      </c>
    </row>
    <row r="54" spans="1:22" hidden="1" x14ac:dyDescent="0.35">
      <c r="A54" s="27" t="s">
        <v>551</v>
      </c>
      <c r="B54" s="28" t="s">
        <v>552</v>
      </c>
      <c r="C54" s="34" t="s">
        <v>401</v>
      </c>
      <c r="D54" s="23" t="s">
        <v>401</v>
      </c>
      <c r="E54" s="23" t="s">
        <v>401</v>
      </c>
      <c r="F54" s="24" t="s">
        <v>401</v>
      </c>
      <c r="G54" s="34" t="s">
        <v>401</v>
      </c>
      <c r="H54" s="24" t="s">
        <v>401</v>
      </c>
      <c r="I54" s="36" t="s">
        <v>401</v>
      </c>
      <c r="J54" s="23" t="str">
        <f>HYPERLINK("#S.25.04.11!$A$1", "S.25.04.11")</f>
        <v>S.25.04.11</v>
      </c>
      <c r="K54" s="23" t="s">
        <v>401</v>
      </c>
      <c r="L54" s="23" t="str">
        <f>HYPERLINK("#S.25.04.13!$A$1", "S.25.04.13")</f>
        <v>S.25.04.13</v>
      </c>
      <c r="M54" s="23" t="s">
        <v>401</v>
      </c>
      <c r="N54" s="23" t="str">
        <f>HYPERLINK("#S.25.04.11!$A$1", "S.25.04.11")</f>
        <v>S.25.04.11</v>
      </c>
      <c r="O54" s="34" t="s">
        <v>401</v>
      </c>
      <c r="P54" s="23" t="s">
        <v>401</v>
      </c>
      <c r="Q54" s="36" t="s">
        <v>401</v>
      </c>
      <c r="R54" s="23" t="s">
        <v>401</v>
      </c>
      <c r="S54" s="33" t="s">
        <v>401</v>
      </c>
      <c r="T54" s="34" t="s">
        <v>401</v>
      </c>
      <c r="U54" s="24" t="s">
        <v>401</v>
      </c>
      <c r="V54" s="35" t="s">
        <v>553</v>
      </c>
    </row>
    <row r="55" spans="1:22" hidden="1" x14ac:dyDescent="0.35">
      <c r="A55" s="27" t="s">
        <v>554</v>
      </c>
      <c r="B55" s="28" t="s">
        <v>555</v>
      </c>
      <c r="C55" s="29" t="str">
        <f>HYPERLINK("#S.26.01.01!$A$1", "S.26.01.01")</f>
        <v>S.26.01.01</v>
      </c>
      <c r="D55" s="23" t="s">
        <v>401</v>
      </c>
      <c r="E55" s="30" t="str">
        <f>HYPERLINK("#S.26.01.04!$A$1", "S.26.01.04")</f>
        <v>S.26.01.04</v>
      </c>
      <c r="F55" s="24" t="s">
        <v>401</v>
      </c>
      <c r="G55" s="29" t="str">
        <f>HYPERLINK("#S.26.01.01!$A$1", "S.26.01.01")</f>
        <v>S.26.01.01</v>
      </c>
      <c r="H55" s="24" t="s">
        <v>401</v>
      </c>
      <c r="I55" s="36" t="s">
        <v>401</v>
      </c>
      <c r="J55" s="23" t="s">
        <v>401</v>
      </c>
      <c r="K55" s="23" t="s">
        <v>401</v>
      </c>
      <c r="L55" s="23" t="s">
        <v>401</v>
      </c>
      <c r="M55" s="23" t="s">
        <v>401</v>
      </c>
      <c r="N55" s="24" t="s">
        <v>401</v>
      </c>
      <c r="O55" s="29" t="str">
        <f>HYPERLINK("#S.26.01.01!$A$1", "S.26.01.01")</f>
        <v>S.26.01.01</v>
      </c>
      <c r="P55" s="23" t="s">
        <v>401</v>
      </c>
      <c r="Q55" s="32" t="str">
        <f>HYPERLINK("#S.26.01.01!$A$1", "S.26.01.01")</f>
        <v>S.26.01.01</v>
      </c>
      <c r="R55" s="23" t="s">
        <v>401</v>
      </c>
      <c r="S55" s="33" t="s">
        <v>401</v>
      </c>
      <c r="T55" s="34" t="s">
        <v>401</v>
      </c>
      <c r="U55" s="24" t="s">
        <v>401</v>
      </c>
      <c r="V55" s="35" t="s">
        <v>556</v>
      </c>
    </row>
    <row r="56" spans="1:22" hidden="1" x14ac:dyDescent="0.35">
      <c r="A56" s="27" t="s">
        <v>557</v>
      </c>
      <c r="B56" s="28" t="s">
        <v>558</v>
      </c>
      <c r="C56" s="29" t="str">
        <f>HYPERLINK("#S.26.02.01!$A$1", "S.26.02.01")</f>
        <v>S.26.02.01</v>
      </c>
      <c r="D56" s="23" t="s">
        <v>401</v>
      </c>
      <c r="E56" s="30" t="str">
        <f>HYPERLINK("#S.26.02.04!$A$1", "S.26.02.04")</f>
        <v>S.26.02.04</v>
      </c>
      <c r="F56" s="24" t="s">
        <v>401</v>
      </c>
      <c r="G56" s="29" t="str">
        <f>HYPERLINK("#S.26.02.01!$A$1", "S.26.02.01")</f>
        <v>S.26.02.01</v>
      </c>
      <c r="H56" s="24" t="s">
        <v>401</v>
      </c>
      <c r="I56" s="36" t="s">
        <v>401</v>
      </c>
      <c r="J56" s="23" t="s">
        <v>401</v>
      </c>
      <c r="K56" s="23" t="s">
        <v>401</v>
      </c>
      <c r="L56" s="23" t="s">
        <v>401</v>
      </c>
      <c r="M56" s="23" t="s">
        <v>401</v>
      </c>
      <c r="N56" s="24" t="s">
        <v>401</v>
      </c>
      <c r="O56" s="29" t="str">
        <f>HYPERLINK("#S.26.02.01!$A$1", "S.26.02.01")</f>
        <v>S.26.02.01</v>
      </c>
      <c r="P56" s="23" t="s">
        <v>401</v>
      </c>
      <c r="Q56" s="32" t="str">
        <f>HYPERLINK("#S.26.02.01!$A$1", "S.26.02.01")</f>
        <v>S.26.02.01</v>
      </c>
      <c r="R56" s="23" t="s">
        <v>401</v>
      </c>
      <c r="S56" s="33" t="s">
        <v>401</v>
      </c>
      <c r="T56" s="34" t="s">
        <v>401</v>
      </c>
      <c r="U56" s="24" t="s">
        <v>401</v>
      </c>
      <c r="V56" s="35" t="s">
        <v>559</v>
      </c>
    </row>
    <row r="57" spans="1:22" hidden="1" x14ac:dyDescent="0.35">
      <c r="A57" s="27" t="s">
        <v>560</v>
      </c>
      <c r="B57" s="28" t="s">
        <v>561</v>
      </c>
      <c r="C57" s="29" t="str">
        <f>HYPERLINK("#S.26.03.01!$A$1", "S.26.03.01")</f>
        <v>S.26.03.01</v>
      </c>
      <c r="D57" s="23" t="s">
        <v>401</v>
      </c>
      <c r="E57" s="30" t="str">
        <f>HYPERLINK("#S.26.03.04!$A$1", "S.26.03.04")</f>
        <v>S.26.03.04</v>
      </c>
      <c r="F57" s="24" t="s">
        <v>401</v>
      </c>
      <c r="G57" s="29" t="str">
        <f>HYPERLINK("#S.26.03.01!$A$1", "S.26.03.01")</f>
        <v>S.26.03.01</v>
      </c>
      <c r="H57" s="24" t="s">
        <v>401</v>
      </c>
      <c r="I57" s="36" t="s">
        <v>401</v>
      </c>
      <c r="J57" s="23" t="s">
        <v>401</v>
      </c>
      <c r="K57" s="23" t="s">
        <v>401</v>
      </c>
      <c r="L57" s="23" t="s">
        <v>401</v>
      </c>
      <c r="M57" s="23" t="s">
        <v>401</v>
      </c>
      <c r="N57" s="24" t="s">
        <v>401</v>
      </c>
      <c r="O57" s="29" t="str">
        <f>HYPERLINK("#S.26.03.01!$A$1", "S.26.03.01")</f>
        <v>S.26.03.01</v>
      </c>
      <c r="P57" s="23" t="s">
        <v>401</v>
      </c>
      <c r="Q57" s="32" t="str">
        <f>HYPERLINK("#S.26.03.01!$A$1", "S.26.03.01")</f>
        <v>S.26.03.01</v>
      </c>
      <c r="R57" s="23" t="s">
        <v>401</v>
      </c>
      <c r="S57" s="33" t="s">
        <v>401</v>
      </c>
      <c r="T57" s="34" t="s">
        <v>401</v>
      </c>
      <c r="U57" s="24" t="s">
        <v>401</v>
      </c>
      <c r="V57" s="35" t="s">
        <v>562</v>
      </c>
    </row>
    <row r="58" spans="1:22" hidden="1" x14ac:dyDescent="0.35">
      <c r="A58" s="27" t="s">
        <v>563</v>
      </c>
      <c r="B58" s="28" t="s">
        <v>564</v>
      </c>
      <c r="C58" s="29" t="str">
        <f>HYPERLINK("#S.26.04.01!$A$1", "S.26.04.01")</f>
        <v>S.26.04.01</v>
      </c>
      <c r="D58" s="23" t="s">
        <v>401</v>
      </c>
      <c r="E58" s="30" t="str">
        <f>HYPERLINK("#S.26.04.04!$A$1", "S.26.04.04")</f>
        <v>S.26.04.04</v>
      </c>
      <c r="F58" s="24" t="s">
        <v>401</v>
      </c>
      <c r="G58" s="29" t="str">
        <f>HYPERLINK("#S.26.04.01!$A$1", "S.26.04.01")</f>
        <v>S.26.04.01</v>
      </c>
      <c r="H58" s="24" t="s">
        <v>401</v>
      </c>
      <c r="I58" s="36" t="s">
        <v>401</v>
      </c>
      <c r="J58" s="23" t="s">
        <v>401</v>
      </c>
      <c r="K58" s="23" t="s">
        <v>401</v>
      </c>
      <c r="L58" s="23" t="s">
        <v>401</v>
      </c>
      <c r="M58" s="23" t="s">
        <v>401</v>
      </c>
      <c r="N58" s="24" t="s">
        <v>401</v>
      </c>
      <c r="O58" s="29" t="str">
        <f>HYPERLINK("#S.26.04.01!$A$1", "S.26.04.01")</f>
        <v>S.26.04.01</v>
      </c>
      <c r="P58" s="23" t="s">
        <v>401</v>
      </c>
      <c r="Q58" s="32" t="str">
        <f>HYPERLINK("#S.26.04.01!$A$1", "S.26.04.01")</f>
        <v>S.26.04.01</v>
      </c>
      <c r="R58" s="23" t="s">
        <v>401</v>
      </c>
      <c r="S58" s="33" t="s">
        <v>401</v>
      </c>
      <c r="T58" s="34" t="s">
        <v>401</v>
      </c>
      <c r="U58" s="24" t="s">
        <v>401</v>
      </c>
      <c r="V58" s="35" t="s">
        <v>565</v>
      </c>
    </row>
    <row r="59" spans="1:22" hidden="1" x14ac:dyDescent="0.35">
      <c r="A59" s="27" t="s">
        <v>566</v>
      </c>
      <c r="B59" s="28" t="s">
        <v>567</v>
      </c>
      <c r="C59" s="29" t="str">
        <f>HYPERLINK("#S.26.05.01!$A$1", "S.26.05.01")</f>
        <v>S.26.05.01</v>
      </c>
      <c r="D59" s="23" t="s">
        <v>401</v>
      </c>
      <c r="E59" s="30" t="str">
        <f>HYPERLINK("#S.26.05.04!$A$1", "S.26.05.04")</f>
        <v>S.26.05.04</v>
      </c>
      <c r="F59" s="24" t="s">
        <v>401</v>
      </c>
      <c r="G59" s="29" t="str">
        <f>HYPERLINK("#S.26.05.01!$A$1", "S.26.05.01")</f>
        <v>S.26.05.01</v>
      </c>
      <c r="H59" s="24" t="s">
        <v>401</v>
      </c>
      <c r="I59" s="36" t="s">
        <v>401</v>
      </c>
      <c r="J59" s="23" t="s">
        <v>401</v>
      </c>
      <c r="K59" s="23" t="s">
        <v>401</v>
      </c>
      <c r="L59" s="23" t="s">
        <v>401</v>
      </c>
      <c r="M59" s="23" t="s">
        <v>401</v>
      </c>
      <c r="N59" s="24" t="s">
        <v>401</v>
      </c>
      <c r="O59" s="29" t="str">
        <f>HYPERLINK("#S.26.05.01!$A$1", "S.26.05.01")</f>
        <v>S.26.05.01</v>
      </c>
      <c r="P59" s="23" t="s">
        <v>401</v>
      </c>
      <c r="Q59" s="32" t="str">
        <f>HYPERLINK("#S.26.05.01!$A$1", "S.26.05.01")</f>
        <v>S.26.05.01</v>
      </c>
      <c r="R59" s="23" t="s">
        <v>401</v>
      </c>
      <c r="S59" s="33" t="s">
        <v>401</v>
      </c>
      <c r="T59" s="34" t="s">
        <v>401</v>
      </c>
      <c r="U59" s="24" t="s">
        <v>401</v>
      </c>
      <c r="V59" s="35" t="s">
        <v>568</v>
      </c>
    </row>
    <row r="60" spans="1:22" hidden="1" x14ac:dyDescent="0.35">
      <c r="A60" s="27" t="s">
        <v>569</v>
      </c>
      <c r="B60" s="28" t="s">
        <v>570</v>
      </c>
      <c r="C60" s="34" t="str">
        <f>HYPERLINK("#S.26.06.01!$A$1", "S.26.06.01")</f>
        <v>S.26.06.01</v>
      </c>
      <c r="D60" s="23" t="s">
        <v>401</v>
      </c>
      <c r="E60" s="23" t="str">
        <f>HYPERLINK("#S.26.06.04!$A$1", "S.26.06.04")</f>
        <v>S.26.06.04</v>
      </c>
      <c r="F60" s="24" t="s">
        <v>401</v>
      </c>
      <c r="G60" s="34" t="str">
        <f>HYPERLINK("#S.26.06.01!$A$1", "S.26.06.01")</f>
        <v>S.26.06.01</v>
      </c>
      <c r="H60" s="24" t="s">
        <v>401</v>
      </c>
      <c r="I60" s="36" t="s">
        <v>401</v>
      </c>
      <c r="J60" s="23" t="s">
        <v>401</v>
      </c>
      <c r="K60" s="23" t="s">
        <v>401</v>
      </c>
      <c r="L60" s="23" t="s">
        <v>401</v>
      </c>
      <c r="M60" s="23" t="s">
        <v>401</v>
      </c>
      <c r="N60" s="24" t="s">
        <v>401</v>
      </c>
      <c r="O60" s="34" t="str">
        <f>HYPERLINK("#S.26.06.01!$A$1", "S.26.06.01")</f>
        <v>S.26.06.01</v>
      </c>
      <c r="P60" s="23" t="s">
        <v>401</v>
      </c>
      <c r="Q60" s="36" t="str">
        <f>HYPERLINK("#S.26.06.01!$A$1", "S.26.06.01")</f>
        <v>S.26.06.01</v>
      </c>
      <c r="R60" s="23" t="s">
        <v>401</v>
      </c>
      <c r="S60" s="33" t="s">
        <v>401</v>
      </c>
      <c r="T60" s="34" t="s">
        <v>401</v>
      </c>
      <c r="U60" s="24" t="s">
        <v>401</v>
      </c>
      <c r="V60" s="35" t="s">
        <v>571</v>
      </c>
    </row>
    <row r="61" spans="1:22" hidden="1" x14ac:dyDescent="0.35">
      <c r="A61" s="27" t="s">
        <v>572</v>
      </c>
      <c r="B61" s="28" t="s">
        <v>573</v>
      </c>
      <c r="C61" s="29" t="str">
        <f>HYPERLINK("#S.26.07.01!$A$1", "S.26.07.01")</f>
        <v>S.26.07.01</v>
      </c>
      <c r="D61" s="23" t="s">
        <v>401</v>
      </c>
      <c r="E61" s="30" t="str">
        <f>HYPERLINK("#S.26.07.04!$A$1", "S.26.07.04")</f>
        <v>S.26.07.04</v>
      </c>
      <c r="F61" s="24" t="s">
        <v>401</v>
      </c>
      <c r="G61" s="29" t="str">
        <f>HYPERLINK("#S.26.07.01!$A$1", "S.26.07.01")</f>
        <v>S.26.07.01</v>
      </c>
      <c r="H61" s="24" t="s">
        <v>401</v>
      </c>
      <c r="I61" s="36" t="s">
        <v>401</v>
      </c>
      <c r="J61" s="23" t="s">
        <v>401</v>
      </c>
      <c r="K61" s="23" t="s">
        <v>401</v>
      </c>
      <c r="L61" s="23" t="s">
        <v>401</v>
      </c>
      <c r="M61" s="23" t="s">
        <v>401</v>
      </c>
      <c r="N61" s="24" t="s">
        <v>401</v>
      </c>
      <c r="O61" s="29" t="str">
        <f>HYPERLINK("#S.26.07.01!$A$1", "S.26.07.01")</f>
        <v>S.26.07.01</v>
      </c>
      <c r="P61" s="23" t="s">
        <v>401</v>
      </c>
      <c r="Q61" s="32" t="str">
        <f>HYPERLINK("#S.26.07.01!$A$1", "S.26.07.01")</f>
        <v>S.26.07.01</v>
      </c>
      <c r="R61" s="23" t="s">
        <v>401</v>
      </c>
      <c r="S61" s="33" t="s">
        <v>401</v>
      </c>
      <c r="T61" s="34" t="s">
        <v>401</v>
      </c>
      <c r="U61" s="24" t="s">
        <v>401</v>
      </c>
      <c r="V61" s="35" t="s">
        <v>574</v>
      </c>
    </row>
    <row r="62" spans="1:22" hidden="1" x14ac:dyDescent="0.35">
      <c r="A62" s="27" t="s">
        <v>575</v>
      </c>
      <c r="B62" s="28" t="s">
        <v>576</v>
      </c>
      <c r="C62" s="29" t="str">
        <f>HYPERLINK("#S.27.01.01!$A$1", "S.27.01.01")</f>
        <v>S.27.01.01</v>
      </c>
      <c r="D62" s="23" t="s">
        <v>401</v>
      </c>
      <c r="E62" s="30" t="str">
        <f>HYPERLINK("#S.27.01.04!$A$1", "S.27.01.04")</f>
        <v>S.27.01.04</v>
      </c>
      <c r="F62" s="24" t="s">
        <v>401</v>
      </c>
      <c r="G62" s="29" t="str">
        <f>HYPERLINK("#S.27.01.01!$A$1", "S.27.01.01")</f>
        <v>S.27.01.01</v>
      </c>
      <c r="H62" s="24" t="s">
        <v>401</v>
      </c>
      <c r="I62" s="36" t="s">
        <v>401</v>
      </c>
      <c r="J62" s="23" t="s">
        <v>401</v>
      </c>
      <c r="K62" s="23" t="s">
        <v>401</v>
      </c>
      <c r="L62" s="23" t="s">
        <v>401</v>
      </c>
      <c r="M62" s="23" t="s">
        <v>401</v>
      </c>
      <c r="N62" s="24" t="s">
        <v>401</v>
      </c>
      <c r="O62" s="29" t="str">
        <f>HYPERLINK("#S.27.01.01!$A$1", "S.27.01.01")</f>
        <v>S.27.01.01</v>
      </c>
      <c r="P62" s="23" t="s">
        <v>401</v>
      </c>
      <c r="Q62" s="32" t="str">
        <f>HYPERLINK("#S.27.01.01!$A$1", "S.27.01.01")</f>
        <v>S.27.01.01</v>
      </c>
      <c r="R62" s="23" t="s">
        <v>401</v>
      </c>
      <c r="S62" s="33" t="s">
        <v>401</v>
      </c>
      <c r="T62" s="34" t="s">
        <v>401</v>
      </c>
      <c r="U62" s="24" t="s">
        <v>401</v>
      </c>
      <c r="V62" s="35" t="s">
        <v>577</v>
      </c>
    </row>
    <row r="63" spans="1:22" x14ac:dyDescent="0.35">
      <c r="A63" s="250" t="s">
        <v>578</v>
      </c>
      <c r="B63" s="250" t="s">
        <v>579</v>
      </c>
      <c r="C63" s="36" t="str">
        <f>HYPERLINK("#S.28.01.01!$A$1", "S.28.01.01")</f>
        <v>S.28.01.01</v>
      </c>
      <c r="D63" s="23" t="str">
        <f>HYPERLINK("#S.28.01.01!$A$1", "S.28.01.01")</f>
        <v>S.28.01.01</v>
      </c>
      <c r="E63" s="23" t="s">
        <v>401</v>
      </c>
      <c r="F63" s="24" t="s">
        <v>401</v>
      </c>
      <c r="G63" s="34" t="str">
        <f>HYPERLINK("#S.28.01.01!$A$1", "S.28.01.01")</f>
        <v>S.28.01.01</v>
      </c>
      <c r="H63" s="24" t="str">
        <f>HYPERLINK("#S.28.01.01!$A$1", "S.28.01.01")</f>
        <v>S.28.01.01</v>
      </c>
      <c r="I63" s="36" t="s">
        <v>401</v>
      </c>
      <c r="J63" s="23" t="s">
        <v>401</v>
      </c>
      <c r="K63" s="23" t="s">
        <v>401</v>
      </c>
      <c r="L63" s="23" t="s">
        <v>401</v>
      </c>
      <c r="M63" s="23" t="s">
        <v>401</v>
      </c>
      <c r="N63" s="24" t="s">
        <v>401</v>
      </c>
      <c r="O63" s="34" t="str">
        <f>HYPERLINK("#S.28.01.01!$A$1", "S.28.01.01")</f>
        <v>S.28.01.01</v>
      </c>
      <c r="P63" s="23" t="str">
        <f>HYPERLINK("#S.28.01.01!$A$1", "S.28.01.01")</f>
        <v>S.28.01.01</v>
      </c>
      <c r="Q63" s="36" t="str">
        <f>HYPERLINK("#S.28.01.01!$A$1", "S.28.01.01")</f>
        <v>S.28.01.01</v>
      </c>
      <c r="R63" s="23" t="str">
        <f>HYPERLINK("#S.28.01.01!$A$1", "S.28.01.01")</f>
        <v>S.28.01.01</v>
      </c>
      <c r="S63" s="33" t="s">
        <v>401</v>
      </c>
      <c r="T63" s="34" t="str">
        <f>HYPERLINK("#S.28.01.01!$A$1", "S.28.01.01")</f>
        <v>S.28.01.01</v>
      </c>
      <c r="U63" s="24" t="s">
        <v>401</v>
      </c>
      <c r="V63" s="35" t="s">
        <v>580</v>
      </c>
    </row>
    <row r="64" spans="1:22" hidden="1" x14ac:dyDescent="0.35">
      <c r="A64" s="27" t="s">
        <v>581</v>
      </c>
      <c r="B64" s="28" t="s">
        <v>582</v>
      </c>
      <c r="C64" s="34" t="str">
        <f>HYPERLINK("#S.28.02.01!$A$1", "S.28.02.01")</f>
        <v>S.28.02.01</v>
      </c>
      <c r="D64" s="23" t="str">
        <f>HYPERLINK("#S.28.02.01!$A$1", "S.28.02.01")</f>
        <v>S.28.02.01</v>
      </c>
      <c r="E64" s="23" t="s">
        <v>401</v>
      </c>
      <c r="F64" s="24" t="s">
        <v>401</v>
      </c>
      <c r="G64" s="34" t="str">
        <f>HYPERLINK("#S.28.02.01!$A$1", "S.28.02.01")</f>
        <v>S.28.02.01</v>
      </c>
      <c r="H64" s="24" t="str">
        <f>HYPERLINK("#S.28.02.01!$A$1", "S.28.02.01")</f>
        <v>S.28.02.01</v>
      </c>
      <c r="I64" s="36" t="s">
        <v>401</v>
      </c>
      <c r="J64" s="23" t="s">
        <v>401</v>
      </c>
      <c r="K64" s="23" t="s">
        <v>401</v>
      </c>
      <c r="L64" s="23" t="s">
        <v>401</v>
      </c>
      <c r="M64" s="23" t="s">
        <v>401</v>
      </c>
      <c r="N64" s="24" t="s">
        <v>401</v>
      </c>
      <c r="O64" s="34" t="str">
        <f>HYPERLINK("#S.28.02.01!$A$1", "S.28.02.01")</f>
        <v>S.28.02.01</v>
      </c>
      <c r="P64" s="23" t="str">
        <f>HYPERLINK("#S.28.02.01!$A$1", "S.28.02.01")</f>
        <v>S.28.02.01</v>
      </c>
      <c r="Q64" s="36" t="str">
        <f>HYPERLINK("#S.28.02.01!$A$1", "S.28.02.01")</f>
        <v>S.28.02.01</v>
      </c>
      <c r="R64" s="23" t="str">
        <f>HYPERLINK("#S.28.02.01!$A$1", "S.28.02.01")</f>
        <v>S.28.02.01</v>
      </c>
      <c r="S64" s="33" t="s">
        <v>401</v>
      </c>
      <c r="T64" s="34" t="str">
        <f>HYPERLINK("#S.28.02.01!$A$1", "S.28.02.01")</f>
        <v>S.28.02.01</v>
      </c>
      <c r="U64" s="24" t="s">
        <v>401</v>
      </c>
      <c r="V64" s="35" t="s">
        <v>583</v>
      </c>
    </row>
    <row r="65" spans="1:22" hidden="1" x14ac:dyDescent="0.35">
      <c r="A65" s="27" t="s">
        <v>584</v>
      </c>
      <c r="B65" s="28" t="s">
        <v>585</v>
      </c>
      <c r="C65" s="29" t="str">
        <f>HYPERLINK("#S.29.01.01!$A$1", "S.29.01.01")</f>
        <v>S.29.01.01</v>
      </c>
      <c r="D65" s="23" t="s">
        <v>401</v>
      </c>
      <c r="E65" s="23" t="s">
        <v>401</v>
      </c>
      <c r="F65" s="24" t="s">
        <v>401</v>
      </c>
      <c r="G65" s="29" t="str">
        <f>HYPERLINK("#S.29.01.07!$A$1", "S.29.01.07")</f>
        <v>S.29.01.07</v>
      </c>
      <c r="H65" s="24" t="s">
        <v>401</v>
      </c>
      <c r="I65" s="36" t="s">
        <v>401</v>
      </c>
      <c r="J65" s="23" t="s">
        <v>401</v>
      </c>
      <c r="K65" s="23" t="s">
        <v>401</v>
      </c>
      <c r="L65" s="23" t="s">
        <v>401</v>
      </c>
      <c r="M65" s="23" t="s">
        <v>401</v>
      </c>
      <c r="N65" s="24" t="s">
        <v>401</v>
      </c>
      <c r="O65" s="29" t="str">
        <f>HYPERLINK("#S.29.01.01!$A$1", "S.29.01.01")</f>
        <v>S.29.01.01</v>
      </c>
      <c r="P65" s="23" t="s">
        <v>401</v>
      </c>
      <c r="Q65" s="32" t="str">
        <f>HYPERLINK("#S.29.01.07!$A$1", "S.29.01.07")</f>
        <v>S.29.01.07</v>
      </c>
      <c r="R65" s="23" t="s">
        <v>401</v>
      </c>
      <c r="S65" s="33" t="s">
        <v>401</v>
      </c>
      <c r="T65" s="34" t="s">
        <v>401</v>
      </c>
      <c r="U65" s="24" t="s">
        <v>401</v>
      </c>
      <c r="V65" s="35" t="s">
        <v>586</v>
      </c>
    </row>
    <row r="66" spans="1:22" hidden="1" x14ac:dyDescent="0.35">
      <c r="A66" s="27" t="s">
        <v>587</v>
      </c>
      <c r="B66" s="28" t="s">
        <v>588</v>
      </c>
      <c r="C66" s="29" t="str">
        <f>HYPERLINK("#S.29.02.01!$A$1", "S.29.02.01")</f>
        <v>S.29.02.01</v>
      </c>
      <c r="D66" s="23" t="s">
        <v>401</v>
      </c>
      <c r="E66" s="23" t="s">
        <v>401</v>
      </c>
      <c r="F66" s="24" t="s">
        <v>401</v>
      </c>
      <c r="G66" s="29" t="str">
        <f>HYPERLINK("#S.29.02.01!$A$1", "S.29.02.01")</f>
        <v>S.29.02.01</v>
      </c>
      <c r="H66" s="24" t="s">
        <v>401</v>
      </c>
      <c r="I66" s="36" t="s">
        <v>401</v>
      </c>
      <c r="J66" s="23" t="s">
        <v>401</v>
      </c>
      <c r="K66" s="23" t="s">
        <v>401</v>
      </c>
      <c r="L66" s="23" t="s">
        <v>401</v>
      </c>
      <c r="M66" s="23" t="s">
        <v>401</v>
      </c>
      <c r="N66" s="24" t="s">
        <v>401</v>
      </c>
      <c r="O66" s="29" t="str">
        <f>HYPERLINK("#S.29.02.01!$A$1", "S.29.02.01")</f>
        <v>S.29.02.01</v>
      </c>
      <c r="P66" s="23" t="s">
        <v>401</v>
      </c>
      <c r="Q66" s="32" t="str">
        <f>HYPERLINK("#S.29.02.01!$A$1", "S.29.02.01")</f>
        <v>S.29.02.01</v>
      </c>
      <c r="R66" s="23" t="s">
        <v>401</v>
      </c>
      <c r="S66" s="33" t="s">
        <v>401</v>
      </c>
      <c r="T66" s="34" t="s">
        <v>401</v>
      </c>
      <c r="U66" s="24" t="s">
        <v>401</v>
      </c>
      <c r="V66" s="35" t="s">
        <v>589</v>
      </c>
    </row>
    <row r="67" spans="1:22" hidden="1" x14ac:dyDescent="0.35">
      <c r="A67" s="27" t="s">
        <v>590</v>
      </c>
      <c r="B67" s="28" t="s">
        <v>591</v>
      </c>
      <c r="C67" s="34" t="str">
        <f>HYPERLINK("#S.29.03.01!$A$1", "S.29.03.01")</f>
        <v>S.29.03.01</v>
      </c>
      <c r="D67" s="23" t="s">
        <v>401</v>
      </c>
      <c r="E67" s="23" t="s">
        <v>401</v>
      </c>
      <c r="F67" s="24" t="s">
        <v>401</v>
      </c>
      <c r="G67" s="34" t="str">
        <f>HYPERLINK("#S.29.03.01!$A$1", "S.29.03.01")</f>
        <v>S.29.03.01</v>
      </c>
      <c r="H67" s="24" t="s">
        <v>401</v>
      </c>
      <c r="I67" s="36" t="s">
        <v>401</v>
      </c>
      <c r="J67" s="23" t="s">
        <v>401</v>
      </c>
      <c r="K67" s="23" t="s">
        <v>401</v>
      </c>
      <c r="L67" s="23" t="s">
        <v>401</v>
      </c>
      <c r="M67" s="23" t="s">
        <v>401</v>
      </c>
      <c r="N67" s="24" t="s">
        <v>401</v>
      </c>
      <c r="O67" s="34" t="str">
        <f>HYPERLINK("#S.29.03.01!$A$1", "S.29.03.01")</f>
        <v>S.29.03.01</v>
      </c>
      <c r="P67" s="23" t="s">
        <v>401</v>
      </c>
      <c r="Q67" s="36" t="str">
        <f>HYPERLINK("#S.29.03.01!$A$1", "S.29.03.01")</f>
        <v>S.29.03.01</v>
      </c>
      <c r="R67" s="23" t="s">
        <v>401</v>
      </c>
      <c r="S67" s="33" t="s">
        <v>401</v>
      </c>
      <c r="T67" s="34" t="s">
        <v>401</v>
      </c>
      <c r="U67" s="24" t="s">
        <v>401</v>
      </c>
      <c r="V67" s="35" t="s">
        <v>592</v>
      </c>
    </row>
    <row r="68" spans="1:22" hidden="1" x14ac:dyDescent="0.35">
      <c r="A68" s="27" t="s">
        <v>593</v>
      </c>
      <c r="B68" s="28" t="s">
        <v>594</v>
      </c>
      <c r="C68" s="34" t="str">
        <f>HYPERLINK("#S.29.04.01!$A$1", "S.29.04.01")</f>
        <v>S.29.04.01</v>
      </c>
      <c r="D68" s="23" t="s">
        <v>401</v>
      </c>
      <c r="E68" s="23" t="s">
        <v>401</v>
      </c>
      <c r="F68" s="24" t="s">
        <v>401</v>
      </c>
      <c r="G68" s="34" t="str">
        <f>HYPERLINK("#S.29.04.01!$A$1", "S.29.04.01")</f>
        <v>S.29.04.01</v>
      </c>
      <c r="H68" s="24" t="s">
        <v>401</v>
      </c>
      <c r="I68" s="36" t="s">
        <v>401</v>
      </c>
      <c r="J68" s="23" t="s">
        <v>401</v>
      </c>
      <c r="K68" s="23" t="s">
        <v>401</v>
      </c>
      <c r="L68" s="23" t="s">
        <v>401</v>
      </c>
      <c r="M68" s="23" t="s">
        <v>401</v>
      </c>
      <c r="N68" s="24" t="s">
        <v>401</v>
      </c>
      <c r="O68" s="34" t="str">
        <f>HYPERLINK("#S.29.04.01!$A$1", "S.29.04.01")</f>
        <v>S.29.04.01</v>
      </c>
      <c r="P68" s="23" t="s">
        <v>401</v>
      </c>
      <c r="Q68" s="36" t="str">
        <f>HYPERLINK("#S.29.04.01!$A$1", "S.29.04.01")</f>
        <v>S.29.04.01</v>
      </c>
      <c r="R68" s="23" t="s">
        <v>401</v>
      </c>
      <c r="S68" s="33" t="s">
        <v>401</v>
      </c>
      <c r="T68" s="34" t="s">
        <v>401</v>
      </c>
      <c r="U68" s="24" t="s">
        <v>401</v>
      </c>
      <c r="V68" s="35" t="s">
        <v>595</v>
      </c>
    </row>
    <row r="69" spans="1:22" hidden="1" x14ac:dyDescent="0.35">
      <c r="A69" s="27" t="s">
        <v>596</v>
      </c>
      <c r="B69" s="28" t="s">
        <v>597</v>
      </c>
      <c r="C69" s="34" t="str">
        <f>HYPERLINK("#S.30.01.01!$A$1", "S.30.01.01")</f>
        <v>S.30.01.01</v>
      </c>
      <c r="D69" s="23" t="s">
        <v>401</v>
      </c>
      <c r="E69" s="23" t="s">
        <v>401</v>
      </c>
      <c r="F69" s="24" t="s">
        <v>401</v>
      </c>
      <c r="G69" s="34" t="str">
        <f>HYPERLINK("#S.30.01.01!$A$1", "S.30.01.01")</f>
        <v>S.30.01.01</v>
      </c>
      <c r="H69" s="24" t="s">
        <v>401</v>
      </c>
      <c r="I69" s="36" t="s">
        <v>401</v>
      </c>
      <c r="J69" s="23" t="s">
        <v>401</v>
      </c>
      <c r="K69" s="23" t="s">
        <v>401</v>
      </c>
      <c r="L69" s="23" t="s">
        <v>401</v>
      </c>
      <c r="M69" s="23" t="s">
        <v>401</v>
      </c>
      <c r="N69" s="24" t="s">
        <v>401</v>
      </c>
      <c r="O69" s="34" t="str">
        <f>HYPERLINK("#S.30.01.01!$A$1", "S.30.01.01")</f>
        <v>S.30.01.01</v>
      </c>
      <c r="P69" s="23" t="s">
        <v>401</v>
      </c>
      <c r="Q69" s="36" t="str">
        <f>HYPERLINK("#S.30.01.01!$A$1", "S.30.01.01")</f>
        <v>S.30.01.01</v>
      </c>
      <c r="R69" s="23" t="s">
        <v>401</v>
      </c>
      <c r="S69" s="33" t="s">
        <v>401</v>
      </c>
      <c r="T69" s="34" t="s">
        <v>401</v>
      </c>
      <c r="U69" s="24" t="s">
        <v>401</v>
      </c>
      <c r="V69" s="35" t="s">
        <v>598</v>
      </c>
    </row>
    <row r="70" spans="1:22" hidden="1" x14ac:dyDescent="0.35">
      <c r="A70" s="27" t="s">
        <v>599</v>
      </c>
      <c r="B70" s="28" t="s">
        <v>600</v>
      </c>
      <c r="C70" s="29" t="str">
        <f>HYPERLINK("#S.30.02.01!$A$1", "S.30.02.01")</f>
        <v>S.30.02.01</v>
      </c>
      <c r="D70" s="23" t="s">
        <v>401</v>
      </c>
      <c r="E70" s="23" t="s">
        <v>401</v>
      </c>
      <c r="F70" s="24" t="s">
        <v>401</v>
      </c>
      <c r="G70" s="29" t="str">
        <f>HYPERLINK("#S.30.02.01!$A$1", "S.30.02.01")</f>
        <v>S.30.02.01</v>
      </c>
      <c r="H70" s="24" t="s">
        <v>401</v>
      </c>
      <c r="I70" s="36" t="s">
        <v>401</v>
      </c>
      <c r="J70" s="23" t="s">
        <v>401</v>
      </c>
      <c r="K70" s="23" t="s">
        <v>401</v>
      </c>
      <c r="L70" s="23" t="s">
        <v>401</v>
      </c>
      <c r="M70" s="23" t="s">
        <v>401</v>
      </c>
      <c r="N70" s="24" t="s">
        <v>401</v>
      </c>
      <c r="O70" s="29" t="str">
        <f>HYPERLINK("#S.30.02.01!$A$1", "S.30.02.01")</f>
        <v>S.30.02.01</v>
      </c>
      <c r="P70" s="23" t="s">
        <v>401</v>
      </c>
      <c r="Q70" s="32" t="str">
        <f>HYPERLINK("#S.30.02.01!$A$1", "S.30.02.01")</f>
        <v>S.30.02.01</v>
      </c>
      <c r="R70" s="23" t="s">
        <v>401</v>
      </c>
      <c r="S70" s="33" t="s">
        <v>401</v>
      </c>
      <c r="T70" s="34" t="s">
        <v>401</v>
      </c>
      <c r="U70" s="24" t="s">
        <v>401</v>
      </c>
      <c r="V70" s="35" t="s">
        <v>601</v>
      </c>
    </row>
    <row r="71" spans="1:22" hidden="1" x14ac:dyDescent="0.35">
      <c r="A71" s="27" t="s">
        <v>602</v>
      </c>
      <c r="B71" s="28" t="s">
        <v>603</v>
      </c>
      <c r="C71" s="34" t="str">
        <f>HYPERLINK("#S.30.03.01!$A$1", "S.30.03.01")</f>
        <v>S.30.03.01</v>
      </c>
      <c r="D71" s="23" t="s">
        <v>401</v>
      </c>
      <c r="E71" s="23" t="s">
        <v>401</v>
      </c>
      <c r="F71" s="24" t="s">
        <v>401</v>
      </c>
      <c r="G71" s="34" t="str">
        <f>HYPERLINK("#S.30.03.01!$A$1", "S.30.03.01")</f>
        <v>S.30.03.01</v>
      </c>
      <c r="H71" s="24" t="s">
        <v>401</v>
      </c>
      <c r="I71" s="36" t="s">
        <v>401</v>
      </c>
      <c r="J71" s="23" t="s">
        <v>401</v>
      </c>
      <c r="K71" s="23" t="s">
        <v>401</v>
      </c>
      <c r="L71" s="23" t="s">
        <v>401</v>
      </c>
      <c r="M71" s="23" t="s">
        <v>401</v>
      </c>
      <c r="N71" s="24" t="s">
        <v>401</v>
      </c>
      <c r="O71" s="34" t="str">
        <f>HYPERLINK("#S.30.03.01!$A$1", "S.30.03.01")</f>
        <v>S.30.03.01</v>
      </c>
      <c r="P71" s="23" t="s">
        <v>401</v>
      </c>
      <c r="Q71" s="36" t="str">
        <f>HYPERLINK("#S.30.03.01!$A$1", "S.30.03.01")</f>
        <v>S.30.03.01</v>
      </c>
      <c r="R71" s="23" t="s">
        <v>401</v>
      </c>
      <c r="S71" s="33" t="s">
        <v>401</v>
      </c>
      <c r="T71" s="34" t="s">
        <v>401</v>
      </c>
      <c r="U71" s="24" t="s">
        <v>401</v>
      </c>
      <c r="V71" s="35" t="s">
        <v>604</v>
      </c>
    </row>
    <row r="72" spans="1:22" hidden="1" x14ac:dyDescent="0.35">
      <c r="A72" s="27" t="s">
        <v>605</v>
      </c>
      <c r="B72" s="28" t="s">
        <v>606</v>
      </c>
      <c r="C72" s="29" t="str">
        <f>HYPERLINK("#S.30.04.01!$A$1", "S.30.04.01")</f>
        <v>S.30.04.01</v>
      </c>
      <c r="D72" s="23" t="s">
        <v>401</v>
      </c>
      <c r="E72" s="23" t="s">
        <v>401</v>
      </c>
      <c r="F72" s="24" t="s">
        <v>401</v>
      </c>
      <c r="G72" s="29" t="str">
        <f>HYPERLINK("#S.30.04.01!$A$1", "S.30.04.01")</f>
        <v>S.30.04.01</v>
      </c>
      <c r="H72" s="24" t="s">
        <v>401</v>
      </c>
      <c r="I72" s="36" t="s">
        <v>401</v>
      </c>
      <c r="J72" s="23" t="s">
        <v>401</v>
      </c>
      <c r="K72" s="23" t="s">
        <v>401</v>
      </c>
      <c r="L72" s="23" t="s">
        <v>401</v>
      </c>
      <c r="M72" s="23" t="s">
        <v>401</v>
      </c>
      <c r="N72" s="24" t="s">
        <v>401</v>
      </c>
      <c r="O72" s="29" t="str">
        <f>HYPERLINK("#S.30.04.01!$A$1", "S.30.04.01")</f>
        <v>S.30.04.01</v>
      </c>
      <c r="P72" s="23" t="s">
        <v>401</v>
      </c>
      <c r="Q72" s="32" t="str">
        <f>HYPERLINK("#S.30.04.01!$A$1", "S.30.04.01")</f>
        <v>S.30.04.01</v>
      </c>
      <c r="R72" s="23" t="s">
        <v>401</v>
      </c>
      <c r="S72" s="33" t="s">
        <v>401</v>
      </c>
      <c r="T72" s="34" t="s">
        <v>401</v>
      </c>
      <c r="U72" s="24" t="s">
        <v>401</v>
      </c>
      <c r="V72" s="35" t="s">
        <v>607</v>
      </c>
    </row>
    <row r="73" spans="1:22" hidden="1" x14ac:dyDescent="0.35">
      <c r="A73" s="27" t="s">
        <v>608</v>
      </c>
      <c r="B73" s="28" t="s">
        <v>609</v>
      </c>
      <c r="C73" s="29" t="str">
        <f>HYPERLINK("#S.31.01.01!$A$1", "S.31.01.01")</f>
        <v>S.31.01.01</v>
      </c>
      <c r="D73" s="23" t="s">
        <v>401</v>
      </c>
      <c r="E73" s="30" t="str">
        <f>HYPERLINK("#S.31.01.04!$A$1", "S.31.01.04")</f>
        <v>S.31.01.04</v>
      </c>
      <c r="F73" s="24" t="s">
        <v>401</v>
      </c>
      <c r="G73" s="29" t="str">
        <f>HYPERLINK("#S.31.01.01!$A$1", "S.31.01.01")</f>
        <v>S.31.01.01</v>
      </c>
      <c r="H73" s="24" t="s">
        <v>401</v>
      </c>
      <c r="I73" s="36" t="s">
        <v>401</v>
      </c>
      <c r="J73" s="23" t="s">
        <v>401</v>
      </c>
      <c r="K73" s="23" t="s">
        <v>401</v>
      </c>
      <c r="L73" s="23" t="s">
        <v>401</v>
      </c>
      <c r="M73" s="23" t="s">
        <v>401</v>
      </c>
      <c r="N73" s="24" t="s">
        <v>401</v>
      </c>
      <c r="O73" s="29" t="str">
        <f>HYPERLINK("#S.31.01.01!$A$1", "S.31.01.01")</f>
        <v>S.31.01.01</v>
      </c>
      <c r="P73" s="23" t="s">
        <v>401</v>
      </c>
      <c r="Q73" s="32" t="str">
        <f>HYPERLINK("#S.31.01.01!$A$1", "S.31.01.01")</f>
        <v>S.31.01.01</v>
      </c>
      <c r="R73" s="23" t="s">
        <v>401</v>
      </c>
      <c r="S73" s="33" t="s">
        <v>401</v>
      </c>
      <c r="T73" s="34" t="s">
        <v>401</v>
      </c>
      <c r="U73" s="24" t="s">
        <v>401</v>
      </c>
      <c r="V73" s="35" t="s">
        <v>610</v>
      </c>
    </row>
    <row r="74" spans="1:22" hidden="1" x14ac:dyDescent="0.35">
      <c r="A74" s="27" t="s">
        <v>611</v>
      </c>
      <c r="B74" s="28" t="s">
        <v>612</v>
      </c>
      <c r="C74" s="29" t="str">
        <f>HYPERLINK("#S.31.02.01!$A$1", "S.31.02.01")</f>
        <v>S.31.02.01</v>
      </c>
      <c r="D74" s="23" t="s">
        <v>401</v>
      </c>
      <c r="E74" s="30" t="str">
        <f>HYPERLINK("#S.31.02.04!$A$1", "S.31.02.04")</f>
        <v>S.31.02.04</v>
      </c>
      <c r="F74" s="24" t="s">
        <v>401</v>
      </c>
      <c r="G74" s="29" t="str">
        <f>HYPERLINK("#S.31.02.01!$A$1", "S.31.02.01")</f>
        <v>S.31.02.01</v>
      </c>
      <c r="H74" s="24" t="s">
        <v>401</v>
      </c>
      <c r="I74" s="36" t="s">
        <v>401</v>
      </c>
      <c r="J74" s="23" t="s">
        <v>401</v>
      </c>
      <c r="K74" s="23" t="s">
        <v>401</v>
      </c>
      <c r="L74" s="23" t="s">
        <v>401</v>
      </c>
      <c r="M74" s="23" t="s">
        <v>401</v>
      </c>
      <c r="N74" s="24" t="s">
        <v>401</v>
      </c>
      <c r="O74" s="29" t="str">
        <f>HYPERLINK("#S.31.02.01!$A$1", "S.31.02.01")</f>
        <v>S.31.02.01</v>
      </c>
      <c r="P74" s="23" t="s">
        <v>401</v>
      </c>
      <c r="Q74" s="32" t="str">
        <f>HYPERLINK("#S.31.02.01!$A$1", "S.31.02.01")</f>
        <v>S.31.02.01</v>
      </c>
      <c r="R74" s="23" t="s">
        <v>401</v>
      </c>
      <c r="S74" s="33" t="s">
        <v>401</v>
      </c>
      <c r="T74" s="34" t="s">
        <v>401</v>
      </c>
      <c r="U74" s="24" t="s">
        <v>401</v>
      </c>
      <c r="V74" s="35" t="s">
        <v>613</v>
      </c>
    </row>
    <row r="75" spans="1:22" hidden="1" x14ac:dyDescent="0.35">
      <c r="A75" s="27" t="s">
        <v>614</v>
      </c>
      <c r="B75" s="28" t="s">
        <v>615</v>
      </c>
      <c r="C75" s="34" t="s">
        <v>401</v>
      </c>
      <c r="D75" s="23" t="s">
        <v>401</v>
      </c>
      <c r="E75" s="23" t="str">
        <f>HYPERLINK("#S.32.01.04!$A$1", "S.32.01.04")</f>
        <v>S.32.01.04</v>
      </c>
      <c r="F75" s="24" t="s">
        <v>401</v>
      </c>
      <c r="G75" s="34" t="s">
        <v>401</v>
      </c>
      <c r="H75" s="24" t="s">
        <v>401</v>
      </c>
      <c r="I75" s="36" t="s">
        <v>401</v>
      </c>
      <c r="J75" s="23" t="s">
        <v>401</v>
      </c>
      <c r="K75" s="23" t="s">
        <v>401</v>
      </c>
      <c r="L75" s="23" t="s">
        <v>401</v>
      </c>
      <c r="M75" s="23" t="s">
        <v>401</v>
      </c>
      <c r="N75" s="24" t="s">
        <v>401</v>
      </c>
      <c r="O75" s="34" t="s">
        <v>401</v>
      </c>
      <c r="P75" s="23" t="s">
        <v>401</v>
      </c>
      <c r="Q75" s="36" t="s">
        <v>401</v>
      </c>
      <c r="R75" s="23" t="s">
        <v>401</v>
      </c>
      <c r="S75" s="33" t="s">
        <v>401</v>
      </c>
      <c r="T75" s="34" t="s">
        <v>401</v>
      </c>
      <c r="U75" s="39" t="s">
        <v>616</v>
      </c>
      <c r="V75" s="35" t="s">
        <v>617</v>
      </c>
    </row>
    <row r="76" spans="1:22" hidden="1" x14ac:dyDescent="0.35">
      <c r="A76" s="27" t="s">
        <v>618</v>
      </c>
      <c r="B76" s="28" t="s">
        <v>619</v>
      </c>
      <c r="C76" s="34" t="s">
        <v>401</v>
      </c>
      <c r="D76" s="23" t="s">
        <v>401</v>
      </c>
      <c r="E76" s="23" t="str">
        <f>HYPERLINK("#S.33.01.04!$A$1", "S.33.01.04")</f>
        <v>S.33.01.04</v>
      </c>
      <c r="F76" s="24" t="s">
        <v>401</v>
      </c>
      <c r="G76" s="34" t="s">
        <v>401</v>
      </c>
      <c r="H76" s="24" t="s">
        <v>401</v>
      </c>
      <c r="I76" s="36" t="s">
        <v>401</v>
      </c>
      <c r="J76" s="23" t="s">
        <v>401</v>
      </c>
      <c r="K76" s="23" t="s">
        <v>401</v>
      </c>
      <c r="L76" s="23" t="s">
        <v>401</v>
      </c>
      <c r="M76" s="23" t="s">
        <v>401</v>
      </c>
      <c r="N76" s="24" t="s">
        <v>401</v>
      </c>
      <c r="O76" s="34" t="s">
        <v>401</v>
      </c>
      <c r="P76" s="23" t="s">
        <v>401</v>
      </c>
      <c r="Q76" s="36" t="s">
        <v>401</v>
      </c>
      <c r="R76" s="23" t="s">
        <v>401</v>
      </c>
      <c r="S76" s="33" t="s">
        <v>401</v>
      </c>
      <c r="T76" s="34" t="s">
        <v>401</v>
      </c>
      <c r="U76" s="24" t="s">
        <v>401</v>
      </c>
      <c r="V76" s="35" t="s">
        <v>620</v>
      </c>
    </row>
    <row r="77" spans="1:22" hidden="1" x14ac:dyDescent="0.35">
      <c r="A77" s="27" t="s">
        <v>621</v>
      </c>
      <c r="B77" s="28" t="s">
        <v>622</v>
      </c>
      <c r="C77" s="34" t="s">
        <v>401</v>
      </c>
      <c r="D77" s="23" t="s">
        <v>401</v>
      </c>
      <c r="E77" s="23" t="str">
        <f>HYPERLINK("#S.34.01.04!$A$1", "S.34.01.04")</f>
        <v>S.34.01.04</v>
      </c>
      <c r="F77" s="24" t="s">
        <v>401</v>
      </c>
      <c r="G77" s="34" t="s">
        <v>401</v>
      </c>
      <c r="H77" s="24" t="s">
        <v>401</v>
      </c>
      <c r="I77" s="36" t="s">
        <v>401</v>
      </c>
      <c r="J77" s="23" t="s">
        <v>401</v>
      </c>
      <c r="K77" s="23" t="s">
        <v>401</v>
      </c>
      <c r="L77" s="23" t="s">
        <v>401</v>
      </c>
      <c r="M77" s="23" t="s">
        <v>401</v>
      </c>
      <c r="N77" s="24" t="s">
        <v>401</v>
      </c>
      <c r="O77" s="34" t="s">
        <v>401</v>
      </c>
      <c r="P77" s="23" t="s">
        <v>401</v>
      </c>
      <c r="Q77" s="36" t="s">
        <v>401</v>
      </c>
      <c r="R77" s="23" t="s">
        <v>401</v>
      </c>
      <c r="S77" s="33" t="s">
        <v>401</v>
      </c>
      <c r="T77" s="34" t="s">
        <v>401</v>
      </c>
      <c r="U77" s="24" t="s">
        <v>401</v>
      </c>
      <c r="V77" s="35" t="s">
        <v>623</v>
      </c>
    </row>
    <row r="78" spans="1:22" hidden="1" x14ac:dyDescent="0.35">
      <c r="A78" s="27" t="s">
        <v>624</v>
      </c>
      <c r="B78" s="28" t="s">
        <v>625</v>
      </c>
      <c r="C78" s="34" t="s">
        <v>401</v>
      </c>
      <c r="D78" s="23" t="s">
        <v>401</v>
      </c>
      <c r="E78" s="23" t="str">
        <f>HYPERLINK("#S.35.01.04!$A$1", "S.35.01.04")</f>
        <v>S.35.01.04</v>
      </c>
      <c r="F78" s="24" t="s">
        <v>401</v>
      </c>
      <c r="G78" s="34" t="s">
        <v>401</v>
      </c>
      <c r="H78" s="24" t="s">
        <v>401</v>
      </c>
      <c r="I78" s="36" t="s">
        <v>401</v>
      </c>
      <c r="J78" s="23" t="s">
        <v>401</v>
      </c>
      <c r="K78" s="23" t="s">
        <v>401</v>
      </c>
      <c r="L78" s="23" t="s">
        <v>401</v>
      </c>
      <c r="M78" s="23" t="s">
        <v>401</v>
      </c>
      <c r="N78" s="24" t="s">
        <v>401</v>
      </c>
      <c r="O78" s="34" t="s">
        <v>401</v>
      </c>
      <c r="P78" s="23" t="s">
        <v>401</v>
      </c>
      <c r="Q78" s="36" t="s">
        <v>401</v>
      </c>
      <c r="R78" s="23" t="s">
        <v>401</v>
      </c>
      <c r="S78" s="33" t="s">
        <v>401</v>
      </c>
      <c r="T78" s="34" t="s">
        <v>401</v>
      </c>
      <c r="U78" s="24" t="s">
        <v>401</v>
      </c>
      <c r="V78" s="35" t="s">
        <v>626</v>
      </c>
    </row>
    <row r="79" spans="1:22" hidden="1" x14ac:dyDescent="0.35">
      <c r="A79" s="27" t="s">
        <v>627</v>
      </c>
      <c r="B79" s="28" t="s">
        <v>628</v>
      </c>
      <c r="C79" s="34" t="str">
        <f>HYPERLINK("#S.36.01.01!$A$1", "S.36.01.01")</f>
        <v>S.36.01.01</v>
      </c>
      <c r="D79" s="23" t="s">
        <v>401</v>
      </c>
      <c r="E79" s="23" t="str">
        <f>HYPERLINK("#S.36.01.01!$A$1", "S.36.01.01")</f>
        <v>S.36.01.01</v>
      </c>
      <c r="F79" s="24" t="s">
        <v>401</v>
      </c>
      <c r="G79" s="34" t="s">
        <v>401</v>
      </c>
      <c r="H79" s="24" t="s">
        <v>401</v>
      </c>
      <c r="I79" s="36" t="s">
        <v>401</v>
      </c>
      <c r="J79" s="23" t="s">
        <v>401</v>
      </c>
      <c r="K79" s="23" t="s">
        <v>401</v>
      </c>
      <c r="L79" s="23" t="s">
        <v>401</v>
      </c>
      <c r="M79" s="23" t="s">
        <v>401</v>
      </c>
      <c r="N79" s="24" t="s">
        <v>401</v>
      </c>
      <c r="O79" s="34" t="str">
        <f>HYPERLINK("#S.36.01.01!$A$1", "S.36.01.01")</f>
        <v>S.36.01.01</v>
      </c>
      <c r="P79" s="23" t="s">
        <v>401</v>
      </c>
      <c r="Q79" s="36" t="s">
        <v>401</v>
      </c>
      <c r="R79" s="23" t="s">
        <v>401</v>
      </c>
      <c r="S79" s="33" t="s">
        <v>401</v>
      </c>
      <c r="T79" s="34" t="s">
        <v>401</v>
      </c>
      <c r="U79" s="24" t="s">
        <v>401</v>
      </c>
      <c r="V79" s="35" t="s">
        <v>629</v>
      </c>
    </row>
    <row r="80" spans="1:22" hidden="1" x14ac:dyDescent="0.35">
      <c r="A80" s="27" t="s">
        <v>630</v>
      </c>
      <c r="B80" s="28" t="s">
        <v>631</v>
      </c>
      <c r="C80" s="34" t="str">
        <f>HYPERLINK("#S.36.02.01!$A$1", "S.36.02.01")</f>
        <v>S.36.02.01</v>
      </c>
      <c r="D80" s="23" t="s">
        <v>401</v>
      </c>
      <c r="E80" s="23" t="str">
        <f>HYPERLINK("#S.36.02.01!$A$1", "S.36.02.01")</f>
        <v>S.36.02.01</v>
      </c>
      <c r="F80" s="24" t="s">
        <v>401</v>
      </c>
      <c r="G80" s="34" t="s">
        <v>401</v>
      </c>
      <c r="H80" s="24" t="s">
        <v>401</v>
      </c>
      <c r="I80" s="36" t="s">
        <v>401</v>
      </c>
      <c r="J80" s="23" t="s">
        <v>401</v>
      </c>
      <c r="K80" s="23" t="s">
        <v>401</v>
      </c>
      <c r="L80" s="23" t="s">
        <v>401</v>
      </c>
      <c r="M80" s="23" t="s">
        <v>401</v>
      </c>
      <c r="N80" s="24" t="s">
        <v>401</v>
      </c>
      <c r="O80" s="34" t="str">
        <f>HYPERLINK("#S.36.02.01!$A$1", "S.36.02.01")</f>
        <v>S.36.02.01</v>
      </c>
      <c r="P80" s="23" t="s">
        <v>401</v>
      </c>
      <c r="Q80" s="36" t="s">
        <v>401</v>
      </c>
      <c r="R80" s="23" t="s">
        <v>401</v>
      </c>
      <c r="S80" s="33" t="s">
        <v>401</v>
      </c>
      <c r="T80" s="34" t="s">
        <v>401</v>
      </c>
      <c r="U80" s="24" t="s">
        <v>401</v>
      </c>
      <c r="V80" s="35" t="s">
        <v>632</v>
      </c>
    </row>
    <row r="81" spans="1:22" hidden="1" x14ac:dyDescent="0.35">
      <c r="A81" s="27" t="s">
        <v>633</v>
      </c>
      <c r="B81" s="28" t="s">
        <v>634</v>
      </c>
      <c r="C81" s="34" t="str">
        <f>HYPERLINK("#S.36.03.01!$A$1", "S.36.03.01")</f>
        <v>S.36.03.01</v>
      </c>
      <c r="D81" s="23" t="s">
        <v>401</v>
      </c>
      <c r="E81" s="23" t="str">
        <f>HYPERLINK("#S.36.03.01!$A$1", "S.36.03.01")</f>
        <v>S.36.03.01</v>
      </c>
      <c r="F81" s="24" t="s">
        <v>401</v>
      </c>
      <c r="G81" s="34" t="s">
        <v>401</v>
      </c>
      <c r="H81" s="24" t="s">
        <v>401</v>
      </c>
      <c r="I81" s="36" t="s">
        <v>401</v>
      </c>
      <c r="J81" s="23" t="s">
        <v>401</v>
      </c>
      <c r="K81" s="23" t="s">
        <v>401</v>
      </c>
      <c r="L81" s="23" t="s">
        <v>401</v>
      </c>
      <c r="M81" s="23" t="s">
        <v>401</v>
      </c>
      <c r="N81" s="24" t="s">
        <v>401</v>
      </c>
      <c r="O81" s="34" t="str">
        <f>HYPERLINK("#S.36.03.01!$A$1", "S.36.03.01")</f>
        <v>S.36.03.01</v>
      </c>
      <c r="P81" s="23" t="s">
        <v>401</v>
      </c>
      <c r="Q81" s="36" t="s">
        <v>401</v>
      </c>
      <c r="R81" s="23" t="s">
        <v>401</v>
      </c>
      <c r="S81" s="33" t="s">
        <v>401</v>
      </c>
      <c r="T81" s="34" t="s">
        <v>401</v>
      </c>
      <c r="U81" s="24" t="s">
        <v>401</v>
      </c>
      <c r="V81" s="35" t="s">
        <v>635</v>
      </c>
    </row>
    <row r="82" spans="1:22" hidden="1" x14ac:dyDescent="0.35">
      <c r="A82" s="27" t="s">
        <v>636</v>
      </c>
      <c r="B82" s="28" t="s">
        <v>637</v>
      </c>
      <c r="C82" s="34" t="str">
        <f>HYPERLINK("#S.36.04.01!$A$1", "S.36.04.01")</f>
        <v>S.36.04.01</v>
      </c>
      <c r="D82" s="23" t="s">
        <v>401</v>
      </c>
      <c r="E82" s="23" t="str">
        <f>HYPERLINK("#S.36.04.01!$A$1", "S.36.04.01")</f>
        <v>S.36.04.01</v>
      </c>
      <c r="F82" s="24" t="s">
        <v>401</v>
      </c>
      <c r="G82" s="34" t="s">
        <v>401</v>
      </c>
      <c r="H82" s="24" t="s">
        <v>401</v>
      </c>
      <c r="I82" s="36" t="s">
        <v>401</v>
      </c>
      <c r="J82" s="23" t="s">
        <v>401</v>
      </c>
      <c r="K82" s="23" t="s">
        <v>401</v>
      </c>
      <c r="L82" s="23" t="s">
        <v>401</v>
      </c>
      <c r="M82" s="23" t="s">
        <v>401</v>
      </c>
      <c r="N82" s="24" t="s">
        <v>401</v>
      </c>
      <c r="O82" s="34" t="str">
        <f>HYPERLINK("#S.36.04.01!$A$1", "S.36.04.01")</f>
        <v>S.36.04.01</v>
      </c>
      <c r="P82" s="23" t="s">
        <v>401</v>
      </c>
      <c r="Q82" s="36" t="s">
        <v>401</v>
      </c>
      <c r="R82" s="23" t="s">
        <v>401</v>
      </c>
      <c r="S82" s="33" t="s">
        <v>401</v>
      </c>
      <c r="T82" s="34" t="s">
        <v>401</v>
      </c>
      <c r="U82" s="24" t="s">
        <v>401</v>
      </c>
      <c r="V82" s="35" t="s">
        <v>638</v>
      </c>
    </row>
    <row r="83" spans="1:22" hidden="1" x14ac:dyDescent="0.35">
      <c r="A83" s="27" t="s">
        <v>639</v>
      </c>
      <c r="B83" s="28" t="s">
        <v>640</v>
      </c>
      <c r="C83" s="34" t="s">
        <v>401</v>
      </c>
      <c r="D83" s="23" t="s">
        <v>401</v>
      </c>
      <c r="E83" s="30" t="str">
        <f>HYPERLINK("#S.37.01.04!$A$1", "S.37.01.04")</f>
        <v>S.37.01.04</v>
      </c>
      <c r="F83" s="24" t="s">
        <v>401</v>
      </c>
      <c r="G83" s="34" t="s">
        <v>401</v>
      </c>
      <c r="H83" s="24" t="s">
        <v>401</v>
      </c>
      <c r="I83" s="36" t="s">
        <v>401</v>
      </c>
      <c r="J83" s="23" t="s">
        <v>401</v>
      </c>
      <c r="K83" s="23" t="s">
        <v>401</v>
      </c>
      <c r="L83" s="23" t="s">
        <v>401</v>
      </c>
      <c r="M83" s="23" t="s">
        <v>401</v>
      </c>
      <c r="N83" s="24" t="s">
        <v>401</v>
      </c>
      <c r="O83" s="34" t="s">
        <v>401</v>
      </c>
      <c r="P83" s="23" t="s">
        <v>401</v>
      </c>
      <c r="Q83" s="36" t="s">
        <v>401</v>
      </c>
      <c r="R83" s="23" t="s">
        <v>401</v>
      </c>
      <c r="S83" s="33" t="s">
        <v>401</v>
      </c>
      <c r="T83" s="34" t="s">
        <v>401</v>
      </c>
      <c r="U83" s="24" t="s">
        <v>401</v>
      </c>
      <c r="V83" s="35" t="s">
        <v>641</v>
      </c>
    </row>
    <row r="84" spans="1:22" hidden="1" x14ac:dyDescent="0.35">
      <c r="A84" s="27" t="s">
        <v>642</v>
      </c>
      <c r="B84" s="28" t="s">
        <v>643</v>
      </c>
      <c r="C84" s="34" t="s">
        <v>401</v>
      </c>
      <c r="D84" s="23" t="s">
        <v>401</v>
      </c>
      <c r="E84" s="23" t="s">
        <v>401</v>
      </c>
      <c r="F84" s="24" t="s">
        <v>401</v>
      </c>
      <c r="G84" s="34" t="s">
        <v>401</v>
      </c>
      <c r="H84" s="24" t="s">
        <v>401</v>
      </c>
      <c r="I84" s="36" t="str">
        <f>HYPERLINK("#S.38.01.10!$A$1", "S.38.01.10")</f>
        <v>S.38.01.10</v>
      </c>
      <c r="J84" s="23" t="s">
        <v>401</v>
      </c>
      <c r="K84" s="23" t="str">
        <f>HYPERLINK("#S.38.01.10!$A$1", "S.38.01.10")</f>
        <v>S.38.01.10</v>
      </c>
      <c r="L84" s="23" t="s">
        <v>401</v>
      </c>
      <c r="M84" s="36" t="str">
        <f>HYPERLINK("#S.38.01.10!$A$1", "S.38.01.10")</f>
        <v>S.38.01.10</v>
      </c>
      <c r="N84" s="23" t="s">
        <v>401</v>
      </c>
      <c r="O84" s="34" t="s">
        <v>401</v>
      </c>
      <c r="P84" s="23" t="s">
        <v>401</v>
      </c>
      <c r="Q84" s="36" t="s">
        <v>401</v>
      </c>
      <c r="R84" s="23" t="s">
        <v>401</v>
      </c>
      <c r="S84" s="33" t="s">
        <v>401</v>
      </c>
      <c r="T84" s="34" t="s">
        <v>401</v>
      </c>
      <c r="U84" s="24" t="s">
        <v>401</v>
      </c>
      <c r="V84" s="35" t="s">
        <v>644</v>
      </c>
    </row>
    <row r="85" spans="1:22" hidden="1" x14ac:dyDescent="0.35">
      <c r="A85" s="27" t="s">
        <v>645</v>
      </c>
      <c r="B85" s="28" t="s">
        <v>646</v>
      </c>
      <c r="C85" s="34" t="s">
        <v>401</v>
      </c>
      <c r="D85" s="23" t="s">
        <v>401</v>
      </c>
      <c r="E85" s="23" t="s">
        <v>401</v>
      </c>
      <c r="F85" s="24" t="s">
        <v>401</v>
      </c>
      <c r="G85" s="34" t="s">
        <v>401</v>
      </c>
      <c r="H85" s="24" t="s">
        <v>401</v>
      </c>
      <c r="I85" s="36" t="s">
        <v>401</v>
      </c>
      <c r="J85" s="23" t="str">
        <f>HYPERLINK("#S.39.01.11!$A$1", "S.39.01.11")</f>
        <v>S.39.01.11</v>
      </c>
      <c r="K85" s="23" t="s">
        <v>401</v>
      </c>
      <c r="L85" s="23" t="str">
        <f>HYPERLINK("#S.39.01.11!$A$1", "S.39.01.11")</f>
        <v>S.39.01.11</v>
      </c>
      <c r="M85" s="36" t="s">
        <v>401</v>
      </c>
      <c r="N85" s="23" t="str">
        <f>HYPERLINK("#S.39.01.11!$A$1", "S.39.01.11")</f>
        <v>S.39.01.11</v>
      </c>
      <c r="O85" s="34" t="s">
        <v>401</v>
      </c>
      <c r="P85" s="23" t="s">
        <v>401</v>
      </c>
      <c r="Q85" s="36" t="s">
        <v>401</v>
      </c>
      <c r="R85" s="23" t="s">
        <v>401</v>
      </c>
      <c r="S85" s="33" t="s">
        <v>401</v>
      </c>
      <c r="T85" s="34" t="s">
        <v>401</v>
      </c>
      <c r="U85" s="24" t="s">
        <v>401</v>
      </c>
      <c r="V85" s="35" t="s">
        <v>647</v>
      </c>
    </row>
    <row r="86" spans="1:22" hidden="1" x14ac:dyDescent="0.35">
      <c r="A86" s="27" t="s">
        <v>648</v>
      </c>
      <c r="B86" s="28" t="s">
        <v>649</v>
      </c>
      <c r="C86" s="34" t="s">
        <v>401</v>
      </c>
      <c r="D86" s="23" t="s">
        <v>401</v>
      </c>
      <c r="E86" s="23" t="s">
        <v>401</v>
      </c>
      <c r="F86" s="24" t="s">
        <v>401</v>
      </c>
      <c r="G86" s="34" t="s">
        <v>401</v>
      </c>
      <c r="H86" s="24" t="s">
        <v>401</v>
      </c>
      <c r="I86" s="36" t="str">
        <f>HYPERLINK("#S.40.01.10!$A$1", "S.40.01.10")</f>
        <v>S.40.01.10</v>
      </c>
      <c r="J86" s="23" t="s">
        <v>401</v>
      </c>
      <c r="K86" s="23" t="str">
        <f>HYPERLINK("#S.40.01.10!$A$1", "S.40.01.10")</f>
        <v>S.40.01.10</v>
      </c>
      <c r="L86" s="23" t="s">
        <v>401</v>
      </c>
      <c r="M86" s="36" t="str">
        <f>HYPERLINK("#S.40.01.10!$A$1", "S.40.01.10")</f>
        <v>S.40.01.10</v>
      </c>
      <c r="N86" s="23" t="s">
        <v>401</v>
      </c>
      <c r="O86" s="34" t="s">
        <v>401</v>
      </c>
      <c r="P86" s="23" t="s">
        <v>401</v>
      </c>
      <c r="Q86" s="36" t="s">
        <v>401</v>
      </c>
      <c r="R86" s="23" t="s">
        <v>401</v>
      </c>
      <c r="S86" s="33" t="s">
        <v>401</v>
      </c>
      <c r="T86" s="34" t="s">
        <v>401</v>
      </c>
      <c r="U86" s="24" t="s">
        <v>401</v>
      </c>
      <c r="V86" s="35" t="s">
        <v>650</v>
      </c>
    </row>
    <row r="87" spans="1:22" hidden="1" x14ac:dyDescent="0.35">
      <c r="A87" s="27" t="s">
        <v>651</v>
      </c>
      <c r="B87" s="28" t="s">
        <v>652</v>
      </c>
      <c r="C87" s="34" t="s">
        <v>401</v>
      </c>
      <c r="D87" s="23" t="s">
        <v>401</v>
      </c>
      <c r="E87" s="23" t="s">
        <v>401</v>
      </c>
      <c r="F87" s="24" t="s">
        <v>401</v>
      </c>
      <c r="G87" s="34" t="s">
        <v>401</v>
      </c>
      <c r="H87" s="24" t="s">
        <v>401</v>
      </c>
      <c r="I87" s="36" t="s">
        <v>401</v>
      </c>
      <c r="J87" s="23" t="str">
        <f>HYPERLINK("#S.41.01.11!$A$1", "S.41.01.11")</f>
        <v>S.41.01.11</v>
      </c>
      <c r="K87" s="23" t="s">
        <v>401</v>
      </c>
      <c r="L87" s="23" t="str">
        <f>HYPERLINK("#S.41.01.11!$A$1", "S.41.01.11")</f>
        <v>S.41.01.11</v>
      </c>
      <c r="M87" s="36" t="s">
        <v>401</v>
      </c>
      <c r="N87" s="23" t="str">
        <f>HYPERLINK("#S.41.01.11!$A$1", "S.41.01.11")</f>
        <v>S.41.01.11</v>
      </c>
      <c r="O87" s="34" t="s">
        <v>401</v>
      </c>
      <c r="P87" s="23" t="s">
        <v>401</v>
      </c>
      <c r="Q87" s="36" t="s">
        <v>401</v>
      </c>
      <c r="R87" s="23" t="s">
        <v>401</v>
      </c>
      <c r="S87" s="33" t="s">
        <v>401</v>
      </c>
      <c r="T87" s="34" t="s">
        <v>401</v>
      </c>
      <c r="U87" s="24" t="s">
        <v>401</v>
      </c>
      <c r="V87" s="35" t="s">
        <v>653</v>
      </c>
    </row>
    <row r="88" spans="1:22" hidden="1" x14ac:dyDescent="0.35">
      <c r="A88" s="27" t="s">
        <v>654</v>
      </c>
      <c r="B88" s="28" t="s">
        <v>655</v>
      </c>
      <c r="C88" s="34" t="str">
        <f>HYPERLINK("#SR.01.01.01!$A$1", "SR.01.01.01")</f>
        <v>SR.01.01.01</v>
      </c>
      <c r="D88" s="23" t="s">
        <v>401</v>
      </c>
      <c r="E88" s="23" t="str">
        <f>HYPERLINK("#SR.01.01.04!$A$1", "SR.01.01.04")</f>
        <v>SR.01.01.04</v>
      </c>
      <c r="F88" s="24" t="s">
        <v>401</v>
      </c>
      <c r="G88" s="34" t="str">
        <f>HYPERLINK("#SR.01.01.07!$A$1", "SR.01.01.07")</f>
        <v>SR.01.01.07</v>
      </c>
      <c r="H88" s="24" t="s">
        <v>401</v>
      </c>
      <c r="I88" s="36" t="s">
        <v>401</v>
      </c>
      <c r="J88" s="23" t="s">
        <v>401</v>
      </c>
      <c r="K88" s="23" t="s">
        <v>401</v>
      </c>
      <c r="L88" s="23" t="s">
        <v>401</v>
      </c>
      <c r="M88" s="23" t="s">
        <v>401</v>
      </c>
      <c r="N88" s="23" t="s">
        <v>401</v>
      </c>
      <c r="O88" s="34" t="str">
        <f>HYPERLINK("#SR.01.01.01!$A$1", "SR.01.01.01")</f>
        <v>SR.01.01.01</v>
      </c>
      <c r="P88" s="23" t="s">
        <v>401</v>
      </c>
      <c r="Q88" s="36" t="str">
        <f>HYPERLINK("#SR.01.01.07!$A$1", "SR.01.01.07")</f>
        <v>SR.01.01.07</v>
      </c>
      <c r="R88" s="23" t="s">
        <v>401</v>
      </c>
      <c r="S88" s="33" t="s">
        <v>401</v>
      </c>
      <c r="T88" s="34" t="s">
        <v>401</v>
      </c>
      <c r="U88" s="24" t="s">
        <v>401</v>
      </c>
      <c r="V88" s="35" t="s">
        <v>656</v>
      </c>
    </row>
    <row r="89" spans="1:22" hidden="1" x14ac:dyDescent="0.35">
      <c r="A89" s="27" t="s">
        <v>657</v>
      </c>
      <c r="B89" s="28" t="s">
        <v>658</v>
      </c>
      <c r="C89" s="34" t="str">
        <f>HYPERLINK("#SR.02.01.01!$A$1", "SR.02.01.01")</f>
        <v>SR.02.01.01</v>
      </c>
      <c r="D89" s="23" t="s">
        <v>401</v>
      </c>
      <c r="E89" s="34" t="str">
        <f>HYPERLINK("#SR.02.01.01!$A$1", "SR.02.01.01")</f>
        <v>SR.02.01.01</v>
      </c>
      <c r="F89" s="24" t="s">
        <v>401</v>
      </c>
      <c r="G89" s="34" t="str">
        <f>HYPERLINK("#SR.02.01.07!$A$1", "SR.02.01.07")</f>
        <v>SR.02.01.07</v>
      </c>
      <c r="H89" s="24" t="s">
        <v>401</v>
      </c>
      <c r="I89" s="36" t="s">
        <v>401</v>
      </c>
      <c r="J89" s="23" t="s">
        <v>401</v>
      </c>
      <c r="K89" s="23" t="s">
        <v>401</v>
      </c>
      <c r="L89" s="23" t="s">
        <v>401</v>
      </c>
      <c r="M89" s="23" t="s">
        <v>401</v>
      </c>
      <c r="N89" s="24" t="s">
        <v>401</v>
      </c>
      <c r="O89" s="34" t="str">
        <f>HYPERLINK("#SR.02.01.01!$A$1", "SR.02.01.01")</f>
        <v>SR.02.01.01</v>
      </c>
      <c r="P89" s="23" t="s">
        <v>401</v>
      </c>
      <c r="Q89" s="36" t="str">
        <f>HYPERLINK("#SR.02.01.07!$A$1", "SR.02.01.07")</f>
        <v>SR.02.01.07</v>
      </c>
      <c r="R89" s="23" t="s">
        <v>401</v>
      </c>
      <c r="S89" s="33" t="s">
        <v>401</v>
      </c>
      <c r="T89" s="34" t="s">
        <v>401</v>
      </c>
      <c r="U89" s="24" t="s">
        <v>401</v>
      </c>
      <c r="V89" s="35" t="s">
        <v>659</v>
      </c>
    </row>
    <row r="90" spans="1:22" hidden="1" x14ac:dyDescent="0.35">
      <c r="A90" s="27" t="s">
        <v>660</v>
      </c>
      <c r="B90" s="28" t="s">
        <v>661</v>
      </c>
      <c r="C90" s="34" t="str">
        <f>HYPERLINK("#SR.12.01.01!$A$1", "SR.12.01.01")</f>
        <v>SR.12.01.01</v>
      </c>
      <c r="D90" s="23" t="s">
        <v>401</v>
      </c>
      <c r="E90" s="23" t="s">
        <v>401</v>
      </c>
      <c r="F90" s="24" t="s">
        <v>401</v>
      </c>
      <c r="G90" s="34" t="str">
        <f>HYPERLINK("#SR.12.01.01!$A$1", "SR.12.01.01")</f>
        <v>SR.12.01.01</v>
      </c>
      <c r="H90" s="24" t="s">
        <v>401</v>
      </c>
      <c r="I90" s="36" t="s">
        <v>401</v>
      </c>
      <c r="J90" s="23" t="s">
        <v>401</v>
      </c>
      <c r="K90" s="23" t="s">
        <v>401</v>
      </c>
      <c r="L90" s="23" t="s">
        <v>401</v>
      </c>
      <c r="M90" s="23" t="s">
        <v>401</v>
      </c>
      <c r="N90" s="24" t="s">
        <v>401</v>
      </c>
      <c r="O90" s="34" t="str">
        <f>HYPERLINK("#SR.12.01.01!$A$1", "SR.12.01.01")</f>
        <v>SR.12.01.01</v>
      </c>
      <c r="P90" s="23" t="s">
        <v>401</v>
      </c>
      <c r="Q90" s="36" t="str">
        <f>HYPERLINK("#SR.12.01.01!$A$1", "SR.12.01.01")</f>
        <v>SR.12.01.01</v>
      </c>
      <c r="R90" s="23" t="s">
        <v>401</v>
      </c>
      <c r="S90" s="33" t="s">
        <v>401</v>
      </c>
      <c r="T90" s="34" t="s">
        <v>401</v>
      </c>
      <c r="U90" s="24" t="s">
        <v>401</v>
      </c>
      <c r="V90" s="35" t="s">
        <v>662</v>
      </c>
    </row>
    <row r="91" spans="1:22" hidden="1" x14ac:dyDescent="0.35">
      <c r="A91" s="27" t="s">
        <v>663</v>
      </c>
      <c r="B91" s="28" t="s">
        <v>664</v>
      </c>
      <c r="C91" s="34" t="str">
        <f>HYPERLINK("#SR.17.01.01!$A$1", "SR.17.01.01")</f>
        <v>SR.17.01.01</v>
      </c>
      <c r="D91" s="23" t="s">
        <v>401</v>
      </c>
      <c r="E91" s="23" t="s">
        <v>401</v>
      </c>
      <c r="F91" s="24" t="s">
        <v>401</v>
      </c>
      <c r="G91" s="34" t="str">
        <f>HYPERLINK("#SR.17.01.01!$A$1", "SR.17.01.01")</f>
        <v>SR.17.01.01</v>
      </c>
      <c r="H91" s="24" t="s">
        <v>401</v>
      </c>
      <c r="I91" s="36" t="s">
        <v>401</v>
      </c>
      <c r="J91" s="23" t="s">
        <v>401</v>
      </c>
      <c r="K91" s="23" t="s">
        <v>401</v>
      </c>
      <c r="L91" s="23" t="s">
        <v>401</v>
      </c>
      <c r="M91" s="23" t="s">
        <v>401</v>
      </c>
      <c r="N91" s="24" t="s">
        <v>401</v>
      </c>
      <c r="O91" s="34" t="str">
        <f>HYPERLINK("#SR.17.01.01!$A$1", "SR.17.01.01")</f>
        <v>SR.17.01.01</v>
      </c>
      <c r="P91" s="23" t="s">
        <v>401</v>
      </c>
      <c r="Q91" s="36" t="str">
        <f>HYPERLINK("#SR.17.01.01!$A$1", "SR.17.01.01")</f>
        <v>SR.17.01.01</v>
      </c>
      <c r="R91" s="23" t="s">
        <v>401</v>
      </c>
      <c r="S91" s="33" t="s">
        <v>401</v>
      </c>
      <c r="T91" s="34" t="s">
        <v>401</v>
      </c>
      <c r="U91" s="24" t="s">
        <v>401</v>
      </c>
      <c r="V91" s="35" t="s">
        <v>665</v>
      </c>
    </row>
    <row r="92" spans="1:22" hidden="1" x14ac:dyDescent="0.35">
      <c r="A92" s="27" t="s">
        <v>666</v>
      </c>
      <c r="B92" s="28" t="s">
        <v>667</v>
      </c>
      <c r="C92" s="34" t="str">
        <f>HYPERLINK("#SR.22.02.01!$A$1", "SR.22.02.01")</f>
        <v>SR.22.02.01</v>
      </c>
      <c r="D92" s="23" t="s">
        <v>401</v>
      </c>
      <c r="E92" s="23" t="s">
        <v>401</v>
      </c>
      <c r="F92" s="24" t="s">
        <v>401</v>
      </c>
      <c r="G92" s="34" t="str">
        <f>HYPERLINK("#SR.22.02.01!$A$1", "SR.22.02.01")</f>
        <v>SR.22.02.01</v>
      </c>
      <c r="H92" s="24" t="s">
        <v>401</v>
      </c>
      <c r="I92" s="36" t="s">
        <v>401</v>
      </c>
      <c r="J92" s="23" t="s">
        <v>401</v>
      </c>
      <c r="K92" s="23" t="s">
        <v>401</v>
      </c>
      <c r="L92" s="23" t="s">
        <v>401</v>
      </c>
      <c r="M92" s="23" t="s">
        <v>401</v>
      </c>
      <c r="N92" s="24" t="s">
        <v>401</v>
      </c>
      <c r="O92" s="37" t="str">
        <f>HYPERLINK("#SR.22.02.01!$A$1", "SR.22.02.01")</f>
        <v>SR.22.02.01</v>
      </c>
      <c r="P92" s="23" t="s">
        <v>401</v>
      </c>
      <c r="Q92" s="36" t="str">
        <f>HYPERLINK("#SR.22.02.01!$A$1", "SR.22.02.01")</f>
        <v>SR.22.02.01</v>
      </c>
      <c r="R92" s="23" t="s">
        <v>401</v>
      </c>
      <c r="S92" s="33" t="s">
        <v>401</v>
      </c>
      <c r="T92" s="34" t="s">
        <v>401</v>
      </c>
      <c r="U92" s="24" t="s">
        <v>401</v>
      </c>
      <c r="V92" s="35" t="s">
        <v>668</v>
      </c>
    </row>
    <row r="93" spans="1:22" hidden="1" x14ac:dyDescent="0.35">
      <c r="A93" s="27" t="s">
        <v>669</v>
      </c>
      <c r="B93" s="28" t="s">
        <v>670</v>
      </c>
      <c r="C93" s="34" t="str">
        <f>HYPERLINK("#SR.22.03.01!$A$1", "SR.22.03.01")</f>
        <v>SR.22.03.01</v>
      </c>
      <c r="D93" s="23" t="s">
        <v>401</v>
      </c>
      <c r="E93" s="23" t="s">
        <v>401</v>
      </c>
      <c r="F93" s="24" t="s">
        <v>401</v>
      </c>
      <c r="G93" s="34" t="str">
        <f>HYPERLINK("#SR.22.03.01!$A$1", "SR.22.03.01")</f>
        <v>SR.22.03.01</v>
      </c>
      <c r="H93" s="24" t="s">
        <v>401</v>
      </c>
      <c r="I93" s="36" t="s">
        <v>401</v>
      </c>
      <c r="J93" s="23" t="s">
        <v>401</v>
      </c>
      <c r="K93" s="23" t="s">
        <v>401</v>
      </c>
      <c r="L93" s="23" t="s">
        <v>401</v>
      </c>
      <c r="M93" s="23" t="s">
        <v>401</v>
      </c>
      <c r="N93" s="24" t="s">
        <v>401</v>
      </c>
      <c r="O93" s="34" t="str">
        <f>HYPERLINK("#SR.22.03.01!$A$1", "SR.22.03.01")</f>
        <v>SR.22.03.01</v>
      </c>
      <c r="P93" s="23" t="s">
        <v>401</v>
      </c>
      <c r="Q93" s="36" t="str">
        <f>HYPERLINK("#SR.22.03.01!$A$1", "SR.22.03.01")</f>
        <v>SR.22.03.01</v>
      </c>
      <c r="R93" s="23" t="s">
        <v>401</v>
      </c>
      <c r="S93" s="33" t="s">
        <v>401</v>
      </c>
      <c r="T93" s="34" t="s">
        <v>401</v>
      </c>
      <c r="U93" s="24" t="s">
        <v>401</v>
      </c>
      <c r="V93" s="35" t="s">
        <v>671</v>
      </c>
    </row>
    <row r="94" spans="1:22" hidden="1" x14ac:dyDescent="0.35">
      <c r="A94" s="27" t="s">
        <v>672</v>
      </c>
      <c r="B94" s="28" t="s">
        <v>673</v>
      </c>
      <c r="C94" s="29" t="str">
        <f>HYPERLINK("#SR.25.01.01!$A$1", "SR.25.01.01")</f>
        <v>SR.25.01.01</v>
      </c>
      <c r="D94" s="23" t="s">
        <v>401</v>
      </c>
      <c r="E94" s="30" t="str">
        <f>HYPERLINK("#SR.25.01.01!$A$1", "SR.25.01.01")</f>
        <v>SR.25.01.01</v>
      </c>
      <c r="F94" s="24" t="s">
        <v>401</v>
      </c>
      <c r="G94" s="29" t="str">
        <f>HYPERLINK("#SR.25.01.01!$A$1", "SR.25.01.01")</f>
        <v>SR.25.01.01</v>
      </c>
      <c r="H94" s="24" t="s">
        <v>401</v>
      </c>
      <c r="I94" s="36" t="s">
        <v>401</v>
      </c>
      <c r="J94" s="23" t="s">
        <v>401</v>
      </c>
      <c r="K94" s="23" t="s">
        <v>401</v>
      </c>
      <c r="L94" s="23" t="s">
        <v>401</v>
      </c>
      <c r="M94" s="23" t="s">
        <v>401</v>
      </c>
      <c r="N94" s="24" t="s">
        <v>401</v>
      </c>
      <c r="O94" s="29" t="str">
        <f>HYPERLINK("#SR.25.01.01!$A$1", "SR.25.01.01")</f>
        <v>SR.25.01.01</v>
      </c>
      <c r="P94" s="23" t="s">
        <v>401</v>
      </c>
      <c r="Q94" s="32" t="str">
        <f>HYPERLINK("#SR.25.01.01!$A$1", "SR.25.01.01")</f>
        <v>SR.25.01.01</v>
      </c>
      <c r="R94" s="23" t="s">
        <v>401</v>
      </c>
      <c r="S94" s="33" t="s">
        <v>401</v>
      </c>
      <c r="T94" s="34" t="s">
        <v>401</v>
      </c>
      <c r="U94" s="24" t="s">
        <v>401</v>
      </c>
      <c r="V94" s="35" t="s">
        <v>674</v>
      </c>
    </row>
    <row r="95" spans="1:22" hidden="1" x14ac:dyDescent="0.35">
      <c r="A95" s="27" t="s">
        <v>675</v>
      </c>
      <c r="B95" s="28" t="s">
        <v>676</v>
      </c>
      <c r="C95" s="29" t="str">
        <f>HYPERLINK("#SR.25.02.01!$A$1", "SR.25.02.01")</f>
        <v>SR.25.02.01</v>
      </c>
      <c r="D95" s="23" t="s">
        <v>401</v>
      </c>
      <c r="E95" s="30" t="str">
        <f>HYPERLINK("#SR.25.02.01!$A$1", "SR.25.02.01")</f>
        <v>SR.25.02.01</v>
      </c>
      <c r="F95" s="24" t="s">
        <v>401</v>
      </c>
      <c r="G95" s="29" t="str">
        <f>HYPERLINK("#SR.25.02.01!$A$1", "SR.25.02.01")</f>
        <v>SR.25.02.01</v>
      </c>
      <c r="H95" s="24" t="s">
        <v>401</v>
      </c>
      <c r="I95" s="36" t="s">
        <v>401</v>
      </c>
      <c r="J95" s="23" t="s">
        <v>401</v>
      </c>
      <c r="K95" s="23" t="s">
        <v>401</v>
      </c>
      <c r="L95" s="23" t="s">
        <v>401</v>
      </c>
      <c r="M95" s="23" t="s">
        <v>401</v>
      </c>
      <c r="N95" s="24" t="s">
        <v>401</v>
      </c>
      <c r="O95" s="29" t="str">
        <f>HYPERLINK("#SR.25.02.01!$A$1", "SR.25.02.01")</f>
        <v>SR.25.02.01</v>
      </c>
      <c r="P95" s="23" t="s">
        <v>401</v>
      </c>
      <c r="Q95" s="32" t="str">
        <f>HYPERLINK("#SR.25.02.01!$A$1", "SR.25.02.01")</f>
        <v>SR.25.02.01</v>
      </c>
      <c r="R95" s="23" t="s">
        <v>401</v>
      </c>
      <c r="S95" s="33" t="s">
        <v>401</v>
      </c>
      <c r="T95" s="34" t="s">
        <v>401</v>
      </c>
      <c r="U95" s="24" t="s">
        <v>401</v>
      </c>
      <c r="V95" s="35" t="s">
        <v>677</v>
      </c>
    </row>
    <row r="96" spans="1:22" hidden="1" x14ac:dyDescent="0.35">
      <c r="A96" s="27" t="s">
        <v>678</v>
      </c>
      <c r="B96" s="28" t="s">
        <v>679</v>
      </c>
      <c r="C96" s="29" t="str">
        <f>HYPERLINK("#SR.25.03.01!$A$1", "SR.25.03.01")</f>
        <v>SR.25.03.01</v>
      </c>
      <c r="D96" s="23" t="s">
        <v>401</v>
      </c>
      <c r="E96" s="30" t="str">
        <f>HYPERLINK("#SR.25.03.01!$A$1", "SR.25.03.01")</f>
        <v>SR.25.03.01</v>
      </c>
      <c r="F96" s="24" t="s">
        <v>401</v>
      </c>
      <c r="G96" s="29" t="str">
        <f>HYPERLINK("#SR.25.03.01!$A$1", "SR.25.03.01")</f>
        <v>SR.25.03.01</v>
      </c>
      <c r="H96" s="24" t="s">
        <v>401</v>
      </c>
      <c r="I96" s="36" t="s">
        <v>401</v>
      </c>
      <c r="J96" s="23" t="s">
        <v>401</v>
      </c>
      <c r="K96" s="23" t="s">
        <v>401</v>
      </c>
      <c r="L96" s="23" t="s">
        <v>401</v>
      </c>
      <c r="M96" s="23" t="s">
        <v>401</v>
      </c>
      <c r="N96" s="24" t="s">
        <v>401</v>
      </c>
      <c r="O96" s="29" t="str">
        <f>HYPERLINK("#SR.25.03.01!$A$1", "SR.25.03.01")</f>
        <v>SR.25.03.01</v>
      </c>
      <c r="P96" s="23" t="s">
        <v>401</v>
      </c>
      <c r="Q96" s="32" t="str">
        <f>HYPERLINK("#SR.25.03.01!$A$1", "SR.25.03.01")</f>
        <v>SR.25.03.01</v>
      </c>
      <c r="R96" s="23" t="s">
        <v>401</v>
      </c>
      <c r="S96" s="33" t="s">
        <v>401</v>
      </c>
      <c r="T96" s="34" t="s">
        <v>401</v>
      </c>
      <c r="U96" s="24" t="s">
        <v>401</v>
      </c>
      <c r="V96" s="35" t="s">
        <v>680</v>
      </c>
    </row>
    <row r="97" spans="1:22" hidden="1" x14ac:dyDescent="0.35">
      <c r="A97" s="27" t="s">
        <v>681</v>
      </c>
      <c r="B97" s="28" t="s">
        <v>682</v>
      </c>
      <c r="C97" s="29" t="str">
        <f>HYPERLINK("#SR.26.01.01!$A$1", "SR.26.01.01")</f>
        <v>SR.26.01.01</v>
      </c>
      <c r="D97" s="23" t="s">
        <v>401</v>
      </c>
      <c r="E97" s="30" t="str">
        <f>HYPERLINK("#SR.26.01.01!$A$1", "SR.26.01.01")</f>
        <v>SR.26.01.01</v>
      </c>
      <c r="F97" s="24" t="s">
        <v>401</v>
      </c>
      <c r="G97" s="29" t="str">
        <f>HYPERLINK("#SR.26.01.01!$A$1", "SR.26.01.01")</f>
        <v>SR.26.01.01</v>
      </c>
      <c r="H97" s="24" t="s">
        <v>401</v>
      </c>
      <c r="I97" s="36" t="s">
        <v>401</v>
      </c>
      <c r="J97" s="23" t="s">
        <v>401</v>
      </c>
      <c r="K97" s="23" t="s">
        <v>401</v>
      </c>
      <c r="L97" s="23" t="s">
        <v>401</v>
      </c>
      <c r="M97" s="23" t="s">
        <v>401</v>
      </c>
      <c r="N97" s="24" t="s">
        <v>401</v>
      </c>
      <c r="O97" s="29" t="str">
        <f>HYPERLINK("#SR.26.01.01!$A$1", "SR.26.01.01")</f>
        <v>SR.26.01.01</v>
      </c>
      <c r="P97" s="23" t="s">
        <v>401</v>
      </c>
      <c r="Q97" s="32" t="str">
        <f>HYPERLINK("#SR.26.01.01!$A$1", "SR.26.01.01")</f>
        <v>SR.26.01.01</v>
      </c>
      <c r="R97" s="23" t="s">
        <v>401</v>
      </c>
      <c r="S97" s="33" t="s">
        <v>401</v>
      </c>
      <c r="T97" s="34" t="s">
        <v>401</v>
      </c>
      <c r="U97" s="24" t="s">
        <v>401</v>
      </c>
      <c r="V97" s="35" t="s">
        <v>683</v>
      </c>
    </row>
    <row r="98" spans="1:22" hidden="1" x14ac:dyDescent="0.35">
      <c r="A98" s="27" t="s">
        <v>684</v>
      </c>
      <c r="B98" s="28" t="s">
        <v>685</v>
      </c>
      <c r="C98" s="29" t="str">
        <f>HYPERLINK("#SR.26.02.01!$A$1", "SR.26.02.01")</f>
        <v>SR.26.02.01</v>
      </c>
      <c r="D98" s="23" t="s">
        <v>401</v>
      </c>
      <c r="E98" s="30" t="str">
        <f>HYPERLINK("#SR.26.02.01!$A$1", "SR.26.02.01")</f>
        <v>SR.26.02.01</v>
      </c>
      <c r="F98" s="24" t="s">
        <v>401</v>
      </c>
      <c r="G98" s="29" t="str">
        <f>HYPERLINK("#SR.26.02.01!$A$1", "SR.26.02.01")</f>
        <v>SR.26.02.01</v>
      </c>
      <c r="H98" s="24" t="s">
        <v>401</v>
      </c>
      <c r="I98" s="36" t="s">
        <v>401</v>
      </c>
      <c r="J98" s="23" t="s">
        <v>401</v>
      </c>
      <c r="K98" s="23" t="s">
        <v>401</v>
      </c>
      <c r="L98" s="23" t="s">
        <v>401</v>
      </c>
      <c r="M98" s="23" t="s">
        <v>401</v>
      </c>
      <c r="N98" s="24" t="s">
        <v>401</v>
      </c>
      <c r="O98" s="29" t="str">
        <f>HYPERLINK("#SR.26.02.01!$A$1", "SR.26.02.01")</f>
        <v>SR.26.02.01</v>
      </c>
      <c r="P98" s="23" t="s">
        <v>401</v>
      </c>
      <c r="Q98" s="32" t="str">
        <f>HYPERLINK("#SR.26.02.01!$A$1", "SR.26.02.01")</f>
        <v>SR.26.02.01</v>
      </c>
      <c r="R98" s="23" t="s">
        <v>401</v>
      </c>
      <c r="S98" s="33" t="s">
        <v>401</v>
      </c>
      <c r="T98" s="34" t="s">
        <v>401</v>
      </c>
      <c r="U98" s="24" t="s">
        <v>401</v>
      </c>
      <c r="V98" s="35" t="s">
        <v>686</v>
      </c>
    </row>
    <row r="99" spans="1:22" hidden="1" x14ac:dyDescent="0.35">
      <c r="A99" s="27" t="s">
        <v>687</v>
      </c>
      <c r="B99" s="28" t="s">
        <v>688</v>
      </c>
      <c r="C99" s="29" t="str">
        <f>HYPERLINK("#SR.26.03.01!$A$1", "SR.26.03.01")</f>
        <v>SR.26.03.01</v>
      </c>
      <c r="D99" s="23" t="s">
        <v>401</v>
      </c>
      <c r="E99" s="30" t="str">
        <f>HYPERLINK("#SR.26.03.01!$A$1", "SR.26.03.01")</f>
        <v>SR.26.03.01</v>
      </c>
      <c r="F99" s="24" t="s">
        <v>401</v>
      </c>
      <c r="G99" s="29" t="str">
        <f>HYPERLINK("#SR.26.03.01!$A$1", "SR.26.03.01")</f>
        <v>SR.26.03.01</v>
      </c>
      <c r="H99" s="24" t="s">
        <v>401</v>
      </c>
      <c r="I99" s="36" t="s">
        <v>401</v>
      </c>
      <c r="J99" s="23" t="s">
        <v>401</v>
      </c>
      <c r="K99" s="23" t="s">
        <v>401</v>
      </c>
      <c r="L99" s="23" t="s">
        <v>401</v>
      </c>
      <c r="M99" s="23" t="s">
        <v>401</v>
      </c>
      <c r="N99" s="24" t="s">
        <v>401</v>
      </c>
      <c r="O99" s="29" t="str">
        <f>HYPERLINK("#SR.26.03.01!$A$1", "SR.26.03.01")</f>
        <v>SR.26.03.01</v>
      </c>
      <c r="P99" s="23" t="s">
        <v>401</v>
      </c>
      <c r="Q99" s="32" t="str">
        <f>HYPERLINK("#SR.26.03.01!$A$1", "SR.26.03.01")</f>
        <v>SR.26.03.01</v>
      </c>
      <c r="R99" s="23" t="s">
        <v>401</v>
      </c>
      <c r="S99" s="33" t="s">
        <v>401</v>
      </c>
      <c r="T99" s="34" t="s">
        <v>401</v>
      </c>
      <c r="U99" s="24" t="s">
        <v>401</v>
      </c>
      <c r="V99" s="35" t="s">
        <v>689</v>
      </c>
    </row>
    <row r="100" spans="1:22" hidden="1" x14ac:dyDescent="0.35">
      <c r="A100" s="27" t="s">
        <v>690</v>
      </c>
      <c r="B100" s="28" t="s">
        <v>691</v>
      </c>
      <c r="C100" s="29" t="str">
        <f>HYPERLINK("#SR.26.04.01!$A$1", "SR.26.04.01")</f>
        <v>SR.26.04.01</v>
      </c>
      <c r="D100" s="23" t="s">
        <v>401</v>
      </c>
      <c r="E100" s="30" t="str">
        <f>HYPERLINK("#SR.26.04.01!$A$1", "SR.26.04.01")</f>
        <v>SR.26.04.01</v>
      </c>
      <c r="F100" s="24" t="s">
        <v>401</v>
      </c>
      <c r="G100" s="29" t="str">
        <f>HYPERLINK("#SR.26.04.01!$A$1", "SR.26.04.01")</f>
        <v>SR.26.04.01</v>
      </c>
      <c r="H100" s="24" t="s">
        <v>401</v>
      </c>
      <c r="I100" s="36" t="s">
        <v>401</v>
      </c>
      <c r="J100" s="23" t="s">
        <v>401</v>
      </c>
      <c r="K100" s="23" t="s">
        <v>401</v>
      </c>
      <c r="L100" s="23" t="s">
        <v>401</v>
      </c>
      <c r="M100" s="23" t="s">
        <v>401</v>
      </c>
      <c r="N100" s="24" t="s">
        <v>401</v>
      </c>
      <c r="O100" s="29" t="str">
        <f>HYPERLINK("#SR.26.04.01!$A$1", "SR.26.04.01")</f>
        <v>SR.26.04.01</v>
      </c>
      <c r="P100" s="23" t="s">
        <v>401</v>
      </c>
      <c r="Q100" s="32" t="str">
        <f>HYPERLINK("#SR.26.04.01!$A$1", "SR.26.04.01")</f>
        <v>SR.26.04.01</v>
      </c>
      <c r="R100" s="23" t="s">
        <v>401</v>
      </c>
      <c r="S100" s="33" t="s">
        <v>401</v>
      </c>
      <c r="T100" s="34" t="s">
        <v>401</v>
      </c>
      <c r="U100" s="24" t="s">
        <v>401</v>
      </c>
      <c r="V100" s="35" t="s">
        <v>692</v>
      </c>
    </row>
    <row r="101" spans="1:22" hidden="1" x14ac:dyDescent="0.35">
      <c r="A101" s="27" t="s">
        <v>693</v>
      </c>
      <c r="B101" s="28" t="s">
        <v>694</v>
      </c>
      <c r="C101" s="29" t="str">
        <f>HYPERLINK("#SR.26.05.01!$A$1", "SR.26.05.01")</f>
        <v>SR.26.05.01</v>
      </c>
      <c r="D101" s="23" t="s">
        <v>401</v>
      </c>
      <c r="E101" s="30" t="str">
        <f>HYPERLINK("#SR.26.05.01!$A$1", "SR.26.05.01")</f>
        <v>SR.26.05.01</v>
      </c>
      <c r="F101" s="24" t="s">
        <v>401</v>
      </c>
      <c r="G101" s="29" t="str">
        <f>HYPERLINK("#SR.26.05.01!$A$1", "SR.26.05.01")</f>
        <v>SR.26.05.01</v>
      </c>
      <c r="H101" s="24" t="s">
        <v>401</v>
      </c>
      <c r="I101" s="36" t="s">
        <v>401</v>
      </c>
      <c r="J101" s="23" t="s">
        <v>401</v>
      </c>
      <c r="K101" s="23" t="s">
        <v>401</v>
      </c>
      <c r="L101" s="23" t="s">
        <v>401</v>
      </c>
      <c r="M101" s="23" t="s">
        <v>401</v>
      </c>
      <c r="N101" s="24" t="s">
        <v>401</v>
      </c>
      <c r="O101" s="29" t="str">
        <f>HYPERLINK("#SR.26.05.01!$A$1", "SR.26.05.01")</f>
        <v>SR.26.05.01</v>
      </c>
      <c r="P101" s="23" t="s">
        <v>401</v>
      </c>
      <c r="Q101" s="32" t="str">
        <f>HYPERLINK("#SR.26.05.01!$A$1", "SR.26.05.01")</f>
        <v>SR.26.05.01</v>
      </c>
      <c r="R101" s="23" t="s">
        <v>401</v>
      </c>
      <c r="S101" s="33" t="s">
        <v>401</v>
      </c>
      <c r="T101" s="34" t="s">
        <v>401</v>
      </c>
      <c r="U101" s="24" t="s">
        <v>401</v>
      </c>
      <c r="V101" s="35" t="s">
        <v>695</v>
      </c>
    </row>
    <row r="102" spans="1:22" hidden="1" x14ac:dyDescent="0.35">
      <c r="A102" s="27" t="s">
        <v>696</v>
      </c>
      <c r="B102" s="28" t="s">
        <v>697</v>
      </c>
      <c r="C102" s="34" t="str">
        <f>HYPERLINK("#SR.26.06.01!$A$1", "SR.26.06.01")</f>
        <v>SR.26.06.01</v>
      </c>
      <c r="D102" s="23" t="s">
        <v>401</v>
      </c>
      <c r="E102" s="23" t="str">
        <f>HYPERLINK("#SR.26.06.01!$A$1", "SR.26.06.01")</f>
        <v>SR.26.06.01</v>
      </c>
      <c r="F102" s="24" t="s">
        <v>401</v>
      </c>
      <c r="G102" s="34" t="str">
        <f>HYPERLINK("#SR.26.06.01!$A$1", "SR.26.06.01")</f>
        <v>SR.26.06.01</v>
      </c>
      <c r="H102" s="24" t="s">
        <v>401</v>
      </c>
      <c r="I102" s="36" t="s">
        <v>401</v>
      </c>
      <c r="J102" s="23" t="s">
        <v>401</v>
      </c>
      <c r="K102" s="23" t="s">
        <v>401</v>
      </c>
      <c r="L102" s="23" t="s">
        <v>401</v>
      </c>
      <c r="M102" s="23" t="s">
        <v>401</v>
      </c>
      <c r="N102" s="24" t="s">
        <v>401</v>
      </c>
      <c r="O102" s="34" t="str">
        <f>HYPERLINK("#SR.26.06.01!$A$1", "SR.26.06.01")</f>
        <v>SR.26.06.01</v>
      </c>
      <c r="P102" s="23" t="s">
        <v>401</v>
      </c>
      <c r="Q102" s="36" t="str">
        <f>HYPERLINK("#SR.26.06.01!$A$1", "SR.26.06.01")</f>
        <v>SR.26.06.01</v>
      </c>
      <c r="R102" s="23" t="s">
        <v>401</v>
      </c>
      <c r="S102" s="33" t="s">
        <v>401</v>
      </c>
      <c r="T102" s="34" t="s">
        <v>401</v>
      </c>
      <c r="U102" s="24" t="s">
        <v>401</v>
      </c>
      <c r="V102" s="35" t="s">
        <v>698</v>
      </c>
    </row>
    <row r="103" spans="1:22" hidden="1" x14ac:dyDescent="0.35">
      <c r="A103" s="27" t="s">
        <v>699</v>
      </c>
      <c r="B103" s="28" t="s">
        <v>700</v>
      </c>
      <c r="C103" s="29" t="str">
        <f>HYPERLINK("#SR.26.07.01!$A$1", "SR.26.07.01")</f>
        <v>SR.26.07.01</v>
      </c>
      <c r="D103" s="23" t="s">
        <v>401</v>
      </c>
      <c r="E103" s="30" t="str">
        <f>HYPERLINK("#SR.26.07.01!$A$1", "SR.26.07.01")</f>
        <v>SR.26.07.01</v>
      </c>
      <c r="F103" s="24" t="s">
        <v>401</v>
      </c>
      <c r="G103" s="29" t="str">
        <f>HYPERLINK("#SR.26.07.01!$A$1", "SR.26.07.01")</f>
        <v>SR.26.07.01</v>
      </c>
      <c r="H103" s="24" t="s">
        <v>401</v>
      </c>
      <c r="I103" s="36" t="s">
        <v>401</v>
      </c>
      <c r="J103" s="23" t="s">
        <v>401</v>
      </c>
      <c r="K103" s="23" t="s">
        <v>401</v>
      </c>
      <c r="L103" s="23" t="s">
        <v>401</v>
      </c>
      <c r="M103" s="23" t="s">
        <v>401</v>
      </c>
      <c r="N103" s="24" t="s">
        <v>401</v>
      </c>
      <c r="O103" s="29" t="str">
        <f>HYPERLINK("#SR.26.07.01!$A$1", "SR.26.07.01")</f>
        <v>SR.26.07.01</v>
      </c>
      <c r="P103" s="23" t="s">
        <v>401</v>
      </c>
      <c r="Q103" s="32" t="str">
        <f>HYPERLINK("#SR.26.07.01!$A$1", "SR.26.07.01")</f>
        <v>SR.26.07.01</v>
      </c>
      <c r="R103" s="23" t="s">
        <v>401</v>
      </c>
      <c r="S103" s="33" t="s">
        <v>401</v>
      </c>
      <c r="T103" s="34" t="s">
        <v>401</v>
      </c>
      <c r="U103" s="24" t="s">
        <v>401</v>
      </c>
      <c r="V103" s="35" t="s">
        <v>701</v>
      </c>
    </row>
    <row r="104" spans="1:22" hidden="1" x14ac:dyDescent="0.35">
      <c r="A104" s="27" t="s">
        <v>702</v>
      </c>
      <c r="B104" s="28" t="s">
        <v>703</v>
      </c>
      <c r="C104" s="29" t="str">
        <f>HYPERLINK("#SR.27.01.01!$A$1", "SR.27.01.01")</f>
        <v>SR.27.01.01</v>
      </c>
      <c r="D104" s="23" t="s">
        <v>401</v>
      </c>
      <c r="E104" s="30" t="str">
        <f>HYPERLINK("#SR.27.01.01!$A$1", "SR.27.01.01")</f>
        <v>SR.27.01.01</v>
      </c>
      <c r="F104" s="24" t="s">
        <v>401</v>
      </c>
      <c r="G104" s="29" t="str">
        <f>HYPERLINK("#SR.27.01.01!$A$1", "SR.27.01.01")</f>
        <v>SR.27.01.01</v>
      </c>
      <c r="H104" s="24" t="s">
        <v>401</v>
      </c>
      <c r="I104" s="36" t="s">
        <v>401</v>
      </c>
      <c r="J104" s="23" t="s">
        <v>401</v>
      </c>
      <c r="K104" s="23" t="s">
        <v>401</v>
      </c>
      <c r="L104" s="23" t="s">
        <v>401</v>
      </c>
      <c r="M104" s="23" t="s">
        <v>401</v>
      </c>
      <c r="N104" s="24" t="s">
        <v>401</v>
      </c>
      <c r="O104" s="29" t="str">
        <f>HYPERLINK("#SR.27.01.01!$A$1", "SR.27.01.01")</f>
        <v>SR.27.01.01</v>
      </c>
      <c r="P104" s="23" t="s">
        <v>401</v>
      </c>
      <c r="Q104" s="32" t="str">
        <f>HYPERLINK("#SR.27.01.01!$A$1", "SR.27.01.01")</f>
        <v>SR.27.01.01</v>
      </c>
      <c r="R104" s="23" t="s">
        <v>401</v>
      </c>
      <c r="S104" s="33" t="s">
        <v>401</v>
      </c>
      <c r="T104" s="34" t="s">
        <v>401</v>
      </c>
      <c r="U104" s="24" t="s">
        <v>401</v>
      </c>
      <c r="V104" s="35" t="s">
        <v>704</v>
      </c>
    </row>
    <row r="105" spans="1:22" hidden="1" x14ac:dyDescent="0.35">
      <c r="A105" s="27" t="s">
        <v>705</v>
      </c>
      <c r="B105" s="28" t="s">
        <v>706</v>
      </c>
      <c r="C105" s="34" t="s">
        <v>401</v>
      </c>
      <c r="D105" s="23" t="s">
        <v>401</v>
      </c>
      <c r="E105" s="23" t="s">
        <v>401</v>
      </c>
      <c r="F105" s="24" t="s">
        <v>401</v>
      </c>
      <c r="G105" s="34" t="s">
        <v>401</v>
      </c>
      <c r="H105" s="24" t="s">
        <v>401</v>
      </c>
      <c r="I105" s="36" t="s">
        <v>401</v>
      </c>
      <c r="J105" s="23" t="s">
        <v>401</v>
      </c>
      <c r="K105" s="23" t="s">
        <v>401</v>
      </c>
      <c r="L105" s="23" t="s">
        <v>401</v>
      </c>
      <c r="M105" s="23" t="s">
        <v>401</v>
      </c>
      <c r="N105" s="24" t="s">
        <v>401</v>
      </c>
      <c r="O105" s="36" t="str">
        <f>HYPERLINK("#SE.01.01.16!$A$1", "SE.01.01.16")</f>
        <v>SE.01.01.16</v>
      </c>
      <c r="P105" s="23" t="str">
        <f>HYPERLINK("#SE.01.01.17!$A$1", "SE.01.01.17")</f>
        <v>SE.01.01.17</v>
      </c>
      <c r="Q105" s="23" t="str">
        <f>HYPERLINK("#SE.01.01.18!$A$1", "SE.01.01.18")</f>
        <v>SE.01.01.18</v>
      </c>
      <c r="R105" s="24" t="str">
        <f>HYPERLINK("#SE.01.01.19!$A$1", "SE.01.01.19")</f>
        <v>SE.01.01.19</v>
      </c>
      <c r="S105" s="33" t="s">
        <v>401</v>
      </c>
      <c r="T105" s="34" t="s">
        <v>401</v>
      </c>
      <c r="U105" s="24" t="s">
        <v>401</v>
      </c>
      <c r="V105" s="35" t="s">
        <v>707</v>
      </c>
    </row>
    <row r="106" spans="1:22" hidden="1" x14ac:dyDescent="0.35">
      <c r="A106" s="27" t="s">
        <v>708</v>
      </c>
      <c r="B106" s="28" t="s">
        <v>709</v>
      </c>
      <c r="C106" s="34" t="s">
        <v>401</v>
      </c>
      <c r="D106" s="23" t="s">
        <v>401</v>
      </c>
      <c r="E106" s="23" t="s">
        <v>401</v>
      </c>
      <c r="F106" s="24" t="s">
        <v>401</v>
      </c>
      <c r="G106" s="34" t="s">
        <v>401</v>
      </c>
      <c r="H106" s="24" t="s">
        <v>401</v>
      </c>
      <c r="I106" s="36" t="s">
        <v>401</v>
      </c>
      <c r="J106" s="23" t="s">
        <v>401</v>
      </c>
      <c r="K106" s="23" t="s">
        <v>401</v>
      </c>
      <c r="L106" s="23" t="s">
        <v>401</v>
      </c>
      <c r="M106" s="23" t="s">
        <v>401</v>
      </c>
      <c r="N106" s="24" t="s">
        <v>401</v>
      </c>
      <c r="O106" s="32" t="str">
        <f>HYPERLINK("#SE.02.01.16!$A$1", "SE.02.01.16")</f>
        <v>SE.02.01.16</v>
      </c>
      <c r="P106" s="30" t="str">
        <f>HYPERLINK("#SE.02.01.17!$A$1", "SE.02.01.17")</f>
        <v>SE.02.01.17</v>
      </c>
      <c r="Q106" s="30" t="str">
        <f>HYPERLINK("#SE.02.01.18!$A$1", "SE.02.01.18")</f>
        <v>SE.02.01.18</v>
      </c>
      <c r="R106" s="31" t="str">
        <f>HYPERLINK("#SE.02.01.19!$A$1", "SE.02.01.19")</f>
        <v>SE.02.01.19</v>
      </c>
      <c r="S106" s="33" t="s">
        <v>401</v>
      </c>
      <c r="T106" s="34" t="s">
        <v>401</v>
      </c>
      <c r="U106" s="24" t="s">
        <v>401</v>
      </c>
      <c r="V106" s="35" t="s">
        <v>710</v>
      </c>
    </row>
    <row r="107" spans="1:22" hidden="1" x14ac:dyDescent="0.35">
      <c r="A107" s="27" t="s">
        <v>711</v>
      </c>
      <c r="B107" s="28" t="s">
        <v>712</v>
      </c>
      <c r="C107" s="34" t="s">
        <v>401</v>
      </c>
      <c r="D107" s="23" t="s">
        <v>401</v>
      </c>
      <c r="E107" s="23" t="s">
        <v>401</v>
      </c>
      <c r="F107" s="24" t="s">
        <v>401</v>
      </c>
      <c r="G107" s="34" t="s">
        <v>401</v>
      </c>
      <c r="H107" s="24" t="s">
        <v>401</v>
      </c>
      <c r="I107" s="36" t="s">
        <v>401</v>
      </c>
      <c r="J107" s="23" t="s">
        <v>401</v>
      </c>
      <c r="K107" s="23" t="s">
        <v>401</v>
      </c>
      <c r="L107" s="23" t="s">
        <v>401</v>
      </c>
      <c r="M107" s="23" t="s">
        <v>401</v>
      </c>
      <c r="N107" s="24" t="s">
        <v>401</v>
      </c>
      <c r="O107" s="32" t="str">
        <f>HYPERLINK("#SE.06.02.16!$A$1", "SE.06.02.16")</f>
        <v>SE.06.02.16</v>
      </c>
      <c r="P107" s="30" t="str">
        <f>HYPERLINK("#SE.06.02.16!$A$1", "SE.06.02.16")</f>
        <v>SE.06.02.16</v>
      </c>
      <c r="Q107" s="30" t="str">
        <f>HYPERLINK("#SE.06.02.18!$A$1", "SE.06.02.18")</f>
        <v>SE.06.02.18</v>
      </c>
      <c r="R107" s="31" t="str">
        <f>HYPERLINK("#SE.06.02.18!$A$1", "SE.06.02.18")</f>
        <v>SE.06.02.18</v>
      </c>
      <c r="S107" s="33" t="s">
        <v>401</v>
      </c>
      <c r="T107" s="34" t="s">
        <v>401</v>
      </c>
      <c r="U107" s="24" t="s">
        <v>401</v>
      </c>
      <c r="V107" s="35" t="s">
        <v>713</v>
      </c>
    </row>
    <row r="108" spans="1:22" hidden="1" x14ac:dyDescent="0.35">
      <c r="A108" s="27" t="s">
        <v>714</v>
      </c>
      <c r="B108" s="28" t="s">
        <v>715</v>
      </c>
      <c r="C108" s="34" t="s">
        <v>401</v>
      </c>
      <c r="D108" s="23" t="s">
        <v>401</v>
      </c>
      <c r="E108" s="23" t="s">
        <v>401</v>
      </c>
      <c r="F108" s="24" t="s">
        <v>401</v>
      </c>
      <c r="G108" s="34" t="s">
        <v>401</v>
      </c>
      <c r="H108" s="24" t="s">
        <v>401</v>
      </c>
      <c r="I108" s="36" t="s">
        <v>401</v>
      </c>
      <c r="J108" s="23" t="s">
        <v>401</v>
      </c>
      <c r="K108" s="23" t="s">
        <v>401</v>
      </c>
      <c r="L108" s="23" t="s">
        <v>401</v>
      </c>
      <c r="M108" s="23" t="s">
        <v>401</v>
      </c>
      <c r="N108" s="24" t="s">
        <v>401</v>
      </c>
      <c r="O108" s="36" t="str">
        <f>HYPERLINK("#E.01.01.16!$A$1", "E.01.01.16")</f>
        <v>E.01.01.16</v>
      </c>
      <c r="P108" s="23" t="str">
        <f>HYPERLINK("#E.01.01.16!$A$1", "E.01.01.16")</f>
        <v>E.01.01.16</v>
      </c>
      <c r="Q108" s="23" t="str">
        <f>HYPERLINK("#E.01.01.16!$A$1", "E.01.01.16")</f>
        <v>E.01.01.16</v>
      </c>
      <c r="R108" s="24" t="str">
        <f>HYPERLINK("#E.01.01.16!$A$1", "E.01.01.16")</f>
        <v>E.01.01.16</v>
      </c>
      <c r="S108" s="33" t="s">
        <v>401</v>
      </c>
      <c r="T108" s="34" t="s">
        <v>401</v>
      </c>
      <c r="U108" s="24" t="s">
        <v>401</v>
      </c>
      <c r="V108" s="35" t="s">
        <v>716</v>
      </c>
    </row>
    <row r="109" spans="1:22" hidden="1" x14ac:dyDescent="0.35">
      <c r="A109" s="27" t="s">
        <v>717</v>
      </c>
      <c r="B109" s="28" t="s">
        <v>718</v>
      </c>
      <c r="C109" s="34" t="s">
        <v>401</v>
      </c>
      <c r="D109" s="23" t="s">
        <v>401</v>
      </c>
      <c r="E109" s="23" t="s">
        <v>401</v>
      </c>
      <c r="F109" s="24" t="s">
        <v>401</v>
      </c>
      <c r="G109" s="34" t="s">
        <v>401</v>
      </c>
      <c r="H109" s="24" t="s">
        <v>401</v>
      </c>
      <c r="I109" s="36" t="s">
        <v>401</v>
      </c>
      <c r="J109" s="23" t="s">
        <v>401</v>
      </c>
      <c r="K109" s="23" t="s">
        <v>401</v>
      </c>
      <c r="L109" s="23" t="s">
        <v>401</v>
      </c>
      <c r="M109" s="23" t="s">
        <v>401</v>
      </c>
      <c r="N109" s="24" t="s">
        <v>401</v>
      </c>
      <c r="O109" s="36" t="str">
        <f>HYPERLINK("#E.02.01.16!$A$1", "E.02.01.16")</f>
        <v>E.02.01.16</v>
      </c>
      <c r="P109" s="23" t="s">
        <v>401</v>
      </c>
      <c r="Q109" s="23" t="str">
        <f>HYPERLINK("#E.02.01.16!$A$1", "E.02.01.16")</f>
        <v>E.02.01.16</v>
      </c>
      <c r="R109" s="24" t="s">
        <v>401</v>
      </c>
      <c r="S109" s="33" t="s">
        <v>401</v>
      </c>
      <c r="T109" s="34" t="s">
        <v>401</v>
      </c>
      <c r="U109" s="24" t="s">
        <v>401</v>
      </c>
      <c r="V109" s="35" t="s">
        <v>719</v>
      </c>
    </row>
    <row r="110" spans="1:22" hidden="1" x14ac:dyDescent="0.35">
      <c r="A110" s="27" t="s">
        <v>720</v>
      </c>
      <c r="B110" s="28" t="s">
        <v>721</v>
      </c>
      <c r="C110" s="34" t="s">
        <v>401</v>
      </c>
      <c r="D110" s="23" t="s">
        <v>401</v>
      </c>
      <c r="E110" s="23" t="s">
        <v>401</v>
      </c>
      <c r="F110" s="24" t="s">
        <v>401</v>
      </c>
      <c r="G110" s="34" t="s">
        <v>401</v>
      </c>
      <c r="H110" s="24" t="s">
        <v>401</v>
      </c>
      <c r="I110" s="36" t="s">
        <v>401</v>
      </c>
      <c r="J110" s="23" t="s">
        <v>401</v>
      </c>
      <c r="K110" s="23" t="s">
        <v>401</v>
      </c>
      <c r="L110" s="23" t="s">
        <v>401</v>
      </c>
      <c r="M110" s="23" t="s">
        <v>401</v>
      </c>
      <c r="N110" s="24" t="s">
        <v>401</v>
      </c>
      <c r="O110" s="36" t="str">
        <f>HYPERLINK("#E.03.01.16!$A$1", "E.03.01.16")</f>
        <v>E.03.01.16</v>
      </c>
      <c r="P110" s="23" t="s">
        <v>401</v>
      </c>
      <c r="Q110" s="23" t="str">
        <f>HYPERLINK("#E.03.01.16!$A$1", "E.03.01.16")</f>
        <v>E.03.01.16</v>
      </c>
      <c r="R110" s="24" t="s">
        <v>401</v>
      </c>
      <c r="S110" s="33" t="s">
        <v>401</v>
      </c>
      <c r="T110" s="34" t="s">
        <v>401</v>
      </c>
      <c r="U110" s="24" t="s">
        <v>401</v>
      </c>
      <c r="V110" s="35" t="s">
        <v>722</v>
      </c>
    </row>
    <row r="111" spans="1:22" hidden="1" x14ac:dyDescent="0.35">
      <c r="A111" s="27" t="s">
        <v>723</v>
      </c>
      <c r="B111" s="28" t="s">
        <v>724</v>
      </c>
      <c r="C111" s="34" t="s">
        <v>401</v>
      </c>
      <c r="D111" s="23" t="s">
        <v>401</v>
      </c>
      <c r="E111" s="23" t="s">
        <v>401</v>
      </c>
      <c r="F111" s="24" t="s">
        <v>401</v>
      </c>
      <c r="G111" s="34" t="s">
        <v>401</v>
      </c>
      <c r="H111" s="24" t="s">
        <v>401</v>
      </c>
      <c r="I111" s="36" t="s">
        <v>401</v>
      </c>
      <c r="J111" s="23" t="s">
        <v>401</v>
      </c>
      <c r="K111" s="23" t="s">
        <v>401</v>
      </c>
      <c r="L111" s="23" t="s">
        <v>401</v>
      </c>
      <c r="M111" s="23" t="s">
        <v>401</v>
      </c>
      <c r="N111" s="24" t="s">
        <v>401</v>
      </c>
      <c r="O111" s="36" t="s">
        <v>401</v>
      </c>
      <c r="P111" s="23" t="s">
        <v>401</v>
      </c>
      <c r="Q111" s="23" t="s">
        <v>401</v>
      </c>
      <c r="R111" s="24" t="s">
        <v>401</v>
      </c>
      <c r="S111" s="33" t="str">
        <f>HYPERLINK("#SPV.01.01.20!$A$1", "SPV.01.01.20")</f>
        <v>SPV.01.01.20</v>
      </c>
      <c r="T111" s="34" t="s">
        <v>401</v>
      </c>
      <c r="U111" s="24" t="s">
        <v>401</v>
      </c>
      <c r="V111" s="35" t="s">
        <v>725</v>
      </c>
    </row>
    <row r="112" spans="1:22" hidden="1" x14ac:dyDescent="0.35">
      <c r="A112" s="27" t="s">
        <v>726</v>
      </c>
      <c r="B112" s="28" t="s">
        <v>727</v>
      </c>
      <c r="C112" s="34" t="s">
        <v>401</v>
      </c>
      <c r="D112" s="23" t="s">
        <v>401</v>
      </c>
      <c r="E112" s="23" t="s">
        <v>401</v>
      </c>
      <c r="F112" s="24" t="s">
        <v>401</v>
      </c>
      <c r="G112" s="34" t="s">
        <v>401</v>
      </c>
      <c r="H112" s="24" t="s">
        <v>401</v>
      </c>
      <c r="I112" s="36" t="s">
        <v>401</v>
      </c>
      <c r="J112" s="23" t="s">
        <v>401</v>
      </c>
      <c r="K112" s="23" t="s">
        <v>401</v>
      </c>
      <c r="L112" s="23" t="s">
        <v>401</v>
      </c>
      <c r="M112" s="23" t="s">
        <v>401</v>
      </c>
      <c r="N112" s="24" t="s">
        <v>401</v>
      </c>
      <c r="O112" s="36" t="s">
        <v>401</v>
      </c>
      <c r="P112" s="23" t="s">
        <v>401</v>
      </c>
      <c r="Q112" s="23" t="s">
        <v>401</v>
      </c>
      <c r="R112" s="24" t="s">
        <v>401</v>
      </c>
      <c r="S112" s="33" t="str">
        <f>HYPERLINK("#SPV.01.02.20!$A$1", "SPV.01.02.20")</f>
        <v>SPV.01.02.20</v>
      </c>
      <c r="T112" s="34" t="s">
        <v>401</v>
      </c>
      <c r="U112" s="24" t="s">
        <v>401</v>
      </c>
      <c r="V112" s="35" t="s">
        <v>728</v>
      </c>
    </row>
    <row r="113" spans="1:22" hidden="1" x14ac:dyDescent="0.35">
      <c r="A113" s="27" t="s">
        <v>729</v>
      </c>
      <c r="B113" s="28" t="s">
        <v>730</v>
      </c>
      <c r="C113" s="34" t="s">
        <v>401</v>
      </c>
      <c r="D113" s="23" t="s">
        <v>401</v>
      </c>
      <c r="E113" s="23" t="s">
        <v>401</v>
      </c>
      <c r="F113" s="24" t="s">
        <v>401</v>
      </c>
      <c r="G113" s="34" t="s">
        <v>401</v>
      </c>
      <c r="H113" s="24" t="s">
        <v>401</v>
      </c>
      <c r="I113" s="36" t="s">
        <v>401</v>
      </c>
      <c r="J113" s="23" t="s">
        <v>401</v>
      </c>
      <c r="K113" s="23" t="s">
        <v>401</v>
      </c>
      <c r="L113" s="23" t="s">
        <v>401</v>
      </c>
      <c r="M113" s="23" t="s">
        <v>401</v>
      </c>
      <c r="N113" s="24" t="s">
        <v>401</v>
      </c>
      <c r="O113" s="36" t="s">
        <v>401</v>
      </c>
      <c r="P113" s="23" t="s">
        <v>401</v>
      </c>
      <c r="Q113" s="23" t="s">
        <v>401</v>
      </c>
      <c r="R113" s="24" t="s">
        <v>401</v>
      </c>
      <c r="S113" s="33" t="str">
        <f>HYPERLINK("#SPV.02.01.20!$A$1", "SPV.02.01.20")</f>
        <v>SPV.02.01.20</v>
      </c>
      <c r="T113" s="34" t="s">
        <v>401</v>
      </c>
      <c r="U113" s="24" t="s">
        <v>401</v>
      </c>
      <c r="V113" s="35" t="s">
        <v>731</v>
      </c>
    </row>
    <row r="114" spans="1:22" hidden="1" x14ac:dyDescent="0.35">
      <c r="A114" s="27" t="s">
        <v>732</v>
      </c>
      <c r="B114" s="28" t="s">
        <v>733</v>
      </c>
      <c r="C114" s="34" t="s">
        <v>401</v>
      </c>
      <c r="D114" s="23" t="s">
        <v>401</v>
      </c>
      <c r="E114" s="23" t="s">
        <v>401</v>
      </c>
      <c r="F114" s="24" t="s">
        <v>401</v>
      </c>
      <c r="G114" s="34" t="s">
        <v>401</v>
      </c>
      <c r="H114" s="24" t="s">
        <v>401</v>
      </c>
      <c r="I114" s="36" t="s">
        <v>401</v>
      </c>
      <c r="J114" s="23" t="s">
        <v>401</v>
      </c>
      <c r="K114" s="23" t="s">
        <v>401</v>
      </c>
      <c r="L114" s="23" t="s">
        <v>401</v>
      </c>
      <c r="M114" s="23" t="s">
        <v>401</v>
      </c>
      <c r="N114" s="24" t="s">
        <v>401</v>
      </c>
      <c r="O114" s="36" t="s">
        <v>401</v>
      </c>
      <c r="P114" s="23" t="s">
        <v>401</v>
      </c>
      <c r="Q114" s="23" t="s">
        <v>401</v>
      </c>
      <c r="R114" s="24" t="s">
        <v>401</v>
      </c>
      <c r="S114" s="33" t="str">
        <f>HYPERLINK("#SPV.02.02.20!$A$1", "SPV.02.02.20")</f>
        <v>SPV.02.02.20</v>
      </c>
      <c r="T114" s="34" t="s">
        <v>401</v>
      </c>
      <c r="U114" s="24" t="s">
        <v>401</v>
      </c>
      <c r="V114" s="35" t="s">
        <v>734</v>
      </c>
    </row>
    <row r="115" spans="1:22" hidden="1" x14ac:dyDescent="0.35">
      <c r="A115" s="27" t="s">
        <v>735</v>
      </c>
      <c r="B115" s="28" t="s">
        <v>736</v>
      </c>
      <c r="C115" s="34" t="s">
        <v>401</v>
      </c>
      <c r="D115" s="23" t="s">
        <v>401</v>
      </c>
      <c r="E115" s="23" t="s">
        <v>401</v>
      </c>
      <c r="F115" s="24" t="s">
        <v>401</v>
      </c>
      <c r="G115" s="34" t="s">
        <v>401</v>
      </c>
      <c r="H115" s="24" t="s">
        <v>401</v>
      </c>
      <c r="I115" s="36" t="s">
        <v>401</v>
      </c>
      <c r="J115" s="23" t="s">
        <v>401</v>
      </c>
      <c r="K115" s="23" t="s">
        <v>401</v>
      </c>
      <c r="L115" s="23" t="s">
        <v>401</v>
      </c>
      <c r="M115" s="23" t="s">
        <v>401</v>
      </c>
      <c r="N115" s="24" t="s">
        <v>401</v>
      </c>
      <c r="O115" s="36" t="s">
        <v>401</v>
      </c>
      <c r="P115" s="23" t="s">
        <v>401</v>
      </c>
      <c r="Q115" s="23" t="s">
        <v>401</v>
      </c>
      <c r="R115" s="24" t="s">
        <v>401</v>
      </c>
      <c r="S115" s="33" t="str">
        <f>HYPERLINK("#SPV.03.01.20!$A$1", "SPV.03.01.20")</f>
        <v>SPV.03.01.20</v>
      </c>
      <c r="T115" s="34" t="s">
        <v>401</v>
      </c>
      <c r="U115" s="24" t="s">
        <v>401</v>
      </c>
      <c r="V115" s="35" t="s">
        <v>737</v>
      </c>
    </row>
    <row r="116" spans="1:22" hidden="1" x14ac:dyDescent="0.35">
      <c r="A116" s="28" t="s">
        <v>738</v>
      </c>
      <c r="B116" s="27" t="s">
        <v>739</v>
      </c>
      <c r="C116" s="48" t="s">
        <v>401</v>
      </c>
      <c r="D116" s="49" t="s">
        <v>401</v>
      </c>
      <c r="E116" s="49" t="s">
        <v>401</v>
      </c>
      <c r="F116" s="50" t="s">
        <v>401</v>
      </c>
      <c r="G116" s="48" t="s">
        <v>401</v>
      </c>
      <c r="H116" s="50" t="s">
        <v>401</v>
      </c>
      <c r="I116" s="51" t="s">
        <v>401</v>
      </c>
      <c r="J116" s="49" t="s">
        <v>401</v>
      </c>
      <c r="K116" s="49" t="s">
        <v>401</v>
      </c>
      <c r="L116" s="49" t="s">
        <v>401</v>
      </c>
      <c r="M116" s="49" t="s">
        <v>401</v>
      </c>
      <c r="N116" s="50" t="s">
        <v>401</v>
      </c>
      <c r="O116" s="51" t="s">
        <v>401</v>
      </c>
      <c r="P116" s="49" t="s">
        <v>401</v>
      </c>
      <c r="Q116" s="49" t="s">
        <v>401</v>
      </c>
      <c r="R116" s="50" t="s">
        <v>401</v>
      </c>
      <c r="S116" s="52" t="str">
        <f>HYPERLINK("#SPV.03.02.20!$A$1", "SPV.03.02.20")</f>
        <v>SPV.03.02.20</v>
      </c>
      <c r="T116" s="48" t="s">
        <v>401</v>
      </c>
      <c r="U116" s="50" t="s">
        <v>401</v>
      </c>
      <c r="V116" s="53" t="s">
        <v>740</v>
      </c>
    </row>
    <row r="117" spans="1:22" ht="15" hidden="1" thickBot="1" x14ac:dyDescent="0.4">
      <c r="A117" s="54" t="s">
        <v>741</v>
      </c>
      <c r="B117" s="55" t="s">
        <v>742</v>
      </c>
      <c r="C117" s="56" t="str">
        <f>HYPERLINK("#T.99.01.01!$A$1", "T.99.01.01")</f>
        <v>T.99.01.01</v>
      </c>
      <c r="D117" s="57" t="s">
        <v>743</v>
      </c>
      <c r="E117" s="57" t="s">
        <v>743</v>
      </c>
      <c r="F117" s="58" t="s">
        <v>743</v>
      </c>
      <c r="G117" s="59" t="s">
        <v>743</v>
      </c>
      <c r="H117" s="58" t="s">
        <v>743</v>
      </c>
      <c r="I117" s="59" t="s">
        <v>743</v>
      </c>
      <c r="J117" s="57" t="s">
        <v>743</v>
      </c>
      <c r="K117" s="57" t="s">
        <v>743</v>
      </c>
      <c r="L117" s="57" t="s">
        <v>743</v>
      </c>
      <c r="M117" s="57" t="s">
        <v>743</v>
      </c>
      <c r="N117" s="58" t="s">
        <v>743</v>
      </c>
      <c r="O117" s="59" t="s">
        <v>743</v>
      </c>
      <c r="P117" s="57" t="s">
        <v>743</v>
      </c>
      <c r="Q117" s="57" t="s">
        <v>743</v>
      </c>
      <c r="R117" s="58" t="s">
        <v>743</v>
      </c>
      <c r="S117" s="58" t="s">
        <v>743</v>
      </c>
      <c r="T117" s="60" t="s">
        <v>401</v>
      </c>
      <c r="U117" s="61" t="s">
        <v>401</v>
      </c>
      <c r="V117" s="62" t="s">
        <v>743</v>
      </c>
    </row>
    <row r="118" spans="1:22" x14ac:dyDescent="0.3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5"/>
    </row>
    <row r="120" spans="1:22" x14ac:dyDescent="0.35">
      <c r="B120" s="218" t="s">
        <v>744</v>
      </c>
    </row>
  </sheetData>
  <autoFilter ref="A1:V117" xr:uid="{00000000-0009-0000-0000-000002000000}">
    <filterColumn colId="19">
      <filters blank="1">
        <filter val=".21"/>
        <filter val="Annual Solvency II public disclosure Solo"/>
        <filter val="S.02.01.02"/>
        <filter val="S.05.01.02"/>
        <filter val="S.05.02.01"/>
        <filter val="S.12.01.02"/>
        <filter val="S.17.01.02"/>
        <filter val="S.19.01.21"/>
        <filter val="S.23.01.01"/>
        <filter val="S.25.02.21"/>
        <filter val="S.28.01.01"/>
      </filters>
    </filterColumn>
  </autoFilter>
  <hyperlinks>
    <hyperlink ref="T37" location="S.19.01.21!A1" display="S.19.01.21" xr:uid="{9C51E520-5291-4778-90E1-996C98EF6BA5}"/>
    <hyperlink ref="T42" location="S.22.01.21!A1" display="S.22.01.21" xr:uid="{598B2226-6A83-49CD-8DC4-E957662F3929}"/>
    <hyperlink ref="U42" location="S.22.01.22!A1" display="S.22.01.22" xr:uid="{04122097-9468-47F3-AEB2-880E478251E7}"/>
    <hyperlink ref="U46" location="S.23.01.22!A1" display="S.23.01.22" xr:uid="{9CD2E650-4DDB-48EE-B189-82D65D68CB0E}"/>
    <hyperlink ref="T51" location="S.25.01.21!A1" display="S.25.01.21" xr:uid="{AF747D19-F3C1-4562-B970-A87A38A78BD6}"/>
    <hyperlink ref="U51" location="S.25.01.22!A1" display="S.25.01.22" xr:uid="{D705BC0D-E131-448E-8234-2954A976DBCE}"/>
    <hyperlink ref="T52" location="S.25.02.21!A1" display="S.25.02.21" xr:uid="{1E93460D-4C66-43C1-8177-39B6BDAF1503}"/>
    <hyperlink ref="U52" location="S.25.02.22!A1" display="S.25.02.22" xr:uid="{D2470B60-A838-4952-BD8D-89B5C14FE865}"/>
    <hyperlink ref="T53" location="S.25.03.21!A1" display="S.25.03.21" xr:uid="{9FC61425-E30A-46B4-8E74-3D7D585FD5CD}"/>
    <hyperlink ref="U53" location="S.25.03.22!A1" display="S.25.03.22" xr:uid="{BA6CC90D-2331-45FA-ADA8-EA01126DC3E6}"/>
    <hyperlink ref="U75" location="S.32.01.22!A1" display=" S.32.01.22" xr:uid="{5A83DD80-D269-4BBA-A0F9-1398E10CC3BE}"/>
    <hyperlink ref="C117" location="T.99.01.01!A1" display="T.99.01.01" xr:uid="{1E0F1CB1-FC05-4A2D-BB5C-658E6EFFC93E}"/>
    <hyperlink ref="D117" location="T.99.01.01!A1" display="T.99.01.01" xr:uid="{3ED4ABAB-EFB3-4CF0-B9EE-5DDDCB201D3F}"/>
    <hyperlink ref="E117" location="T.99.01.01!A1" display="T.99.01.01" xr:uid="{40BE8F37-2572-4C5C-AC2E-A40487FCB10E}"/>
    <hyperlink ref="F117" location="T.99.01.01!A1" display="T.99.01.01" xr:uid="{6F4810FA-FF96-4B60-83C7-7BC824F37474}"/>
    <hyperlink ref="G117" location="T.99.01.01!A1" display="T.99.01.01" xr:uid="{F25503C0-18F3-4B98-8153-91CFE3CA99C3}"/>
    <hyperlink ref="H117" location="T.99.01.01!A1" display="T.99.01.01" xr:uid="{2A53DCC2-F0B5-4D9B-BDDD-B3EC1309552F}"/>
    <hyperlink ref="I117" location="T.99.01.01!A1" display="T.99.01.01" xr:uid="{5942E932-3800-4CA0-AC5E-86E12856C91E}"/>
    <hyperlink ref="J117" location="T.99.01.01!A1" display="T.99.01.01" xr:uid="{058D8333-F098-46BA-A97E-35FCF5E2494B}"/>
    <hyperlink ref="K117" location="T.99.01.01!A1" display="T.99.01.01" xr:uid="{730A1949-7A25-4677-82AA-0BED438144C7}"/>
    <hyperlink ref="L117" location="T.99.01.01!A1" display="T.99.01.01" xr:uid="{5C148A34-637F-4040-99F2-ADDC79EA8094}"/>
    <hyperlink ref="M117" location="T.99.01.01!A1" display="T.99.01.01" xr:uid="{636AECDE-844C-4C15-8BAD-0E5974D1B5A5}"/>
    <hyperlink ref="N117" location="T.99.01.01!A1" display="T.99.01.01" xr:uid="{26FF9263-C5AA-4129-B5C9-832EE415783B}"/>
    <hyperlink ref="O117" location="T.99.01.01!A1" display="T.99.01.01" xr:uid="{86E89697-584D-48D5-8290-AE29A414C228}"/>
    <hyperlink ref="P117" location="T.99.01.01!A1" display="T.99.01.01" xr:uid="{26651A51-8EED-4E80-A24B-511551C60E66}"/>
    <hyperlink ref="Q117" location="T.99.01.01!A1" display="T.99.01.01" xr:uid="{B39A697D-21C4-476B-B46D-C6919BB4B4AF}"/>
    <hyperlink ref="R117" location="T.99.01.01!A1" display="T.99.01.01" xr:uid="{AF0C0799-3F76-47D0-A708-DD297CA78D98}"/>
    <hyperlink ref="S117" location="T.99.01.01!A1" display="T.99.01.01" xr:uid="{DBCBB5FB-89DC-486C-8888-4C5B2E4B1878}"/>
    <hyperlink ref="V117" location="T.99.01.01!A1" display="T.99.01.01" xr:uid="{9228B72B-7FEF-4BB6-A191-986A4EC66993}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E39BD3-ACC8-42EA-A02D-269C06D69218}">
  <dimension ref="A1:O83"/>
  <sheetViews>
    <sheetView showGridLines="0" topLeftCell="A67" zoomScale="80" zoomScaleNormal="80" workbookViewId="0">
      <selection activeCell="D89" sqref="D89"/>
    </sheetView>
  </sheetViews>
  <sheetFormatPr defaultColWidth="9.1796875" defaultRowHeight="14.5" x14ac:dyDescent="0.35"/>
  <cols>
    <col min="1" max="1" width="65.1796875" style="64" customWidth="1"/>
    <col min="2" max="2" width="9.1796875" style="64"/>
    <col min="3" max="3" width="17.453125" style="64" customWidth="1"/>
    <col min="4" max="4" width="47.54296875" style="64" customWidth="1"/>
    <col min="5" max="5" width="18.81640625" style="64" customWidth="1"/>
    <col min="6" max="8" width="17.453125" style="64" customWidth="1"/>
    <col min="9" max="9" width="16.54296875" style="64" customWidth="1"/>
    <col min="10" max="248" width="9.1796875" style="64"/>
    <col min="249" max="249" width="54.54296875" style="64" customWidth="1"/>
    <col min="250" max="250" width="28.453125" style="64" customWidth="1"/>
    <col min="251" max="251" width="9.1796875" style="64"/>
    <col min="252" max="252" width="18.54296875" style="64" customWidth="1"/>
    <col min="253" max="253" width="21.54296875" style="64" customWidth="1"/>
    <col min="254" max="504" width="9.1796875" style="64"/>
    <col min="505" max="505" width="54.54296875" style="64" customWidth="1"/>
    <col min="506" max="506" width="28.453125" style="64" customWidth="1"/>
    <col min="507" max="507" width="9.1796875" style="64"/>
    <col min="508" max="508" width="18.54296875" style="64" customWidth="1"/>
    <col min="509" max="509" width="21.54296875" style="64" customWidth="1"/>
    <col min="510" max="760" width="9.1796875" style="64"/>
    <col min="761" max="761" width="54.54296875" style="64" customWidth="1"/>
    <col min="762" max="762" width="28.453125" style="64" customWidth="1"/>
    <col min="763" max="763" width="9.1796875" style="64"/>
    <col min="764" max="764" width="18.54296875" style="64" customWidth="1"/>
    <col min="765" max="765" width="21.54296875" style="64" customWidth="1"/>
    <col min="766" max="1016" width="9.1796875" style="64"/>
    <col min="1017" max="1017" width="54.54296875" style="64" customWidth="1"/>
    <col min="1018" max="1018" width="28.453125" style="64" customWidth="1"/>
    <col min="1019" max="1019" width="9.1796875" style="64"/>
    <col min="1020" max="1020" width="18.54296875" style="64" customWidth="1"/>
    <col min="1021" max="1021" width="21.54296875" style="64" customWidth="1"/>
    <col min="1022" max="1272" width="9.1796875" style="64"/>
    <col min="1273" max="1273" width="54.54296875" style="64" customWidth="1"/>
    <col min="1274" max="1274" width="28.453125" style="64" customWidth="1"/>
    <col min="1275" max="1275" width="9.1796875" style="64"/>
    <col min="1276" max="1276" width="18.54296875" style="64" customWidth="1"/>
    <col min="1277" max="1277" width="21.54296875" style="64" customWidth="1"/>
    <col min="1278" max="1528" width="9.1796875" style="64"/>
    <col min="1529" max="1529" width="54.54296875" style="64" customWidth="1"/>
    <col min="1530" max="1530" width="28.453125" style="64" customWidth="1"/>
    <col min="1531" max="1531" width="9.1796875" style="64"/>
    <col min="1532" max="1532" width="18.54296875" style="64" customWidth="1"/>
    <col min="1533" max="1533" width="21.54296875" style="64" customWidth="1"/>
    <col min="1534" max="1784" width="9.1796875" style="64"/>
    <col min="1785" max="1785" width="54.54296875" style="64" customWidth="1"/>
    <col min="1786" max="1786" width="28.453125" style="64" customWidth="1"/>
    <col min="1787" max="1787" width="9.1796875" style="64"/>
    <col min="1788" max="1788" width="18.54296875" style="64" customWidth="1"/>
    <col min="1789" max="1789" width="21.54296875" style="64" customWidth="1"/>
    <col min="1790" max="2040" width="9.1796875" style="64"/>
    <col min="2041" max="2041" width="54.54296875" style="64" customWidth="1"/>
    <col min="2042" max="2042" width="28.453125" style="64" customWidth="1"/>
    <col min="2043" max="2043" width="9.1796875" style="64"/>
    <col min="2044" max="2044" width="18.54296875" style="64" customWidth="1"/>
    <col min="2045" max="2045" width="21.54296875" style="64" customWidth="1"/>
    <col min="2046" max="2296" width="9.1796875" style="64"/>
    <col min="2297" max="2297" width="54.54296875" style="64" customWidth="1"/>
    <col min="2298" max="2298" width="28.453125" style="64" customWidth="1"/>
    <col min="2299" max="2299" width="9.1796875" style="64"/>
    <col min="2300" max="2300" width="18.54296875" style="64" customWidth="1"/>
    <col min="2301" max="2301" width="21.54296875" style="64" customWidth="1"/>
    <col min="2302" max="2552" width="9.1796875" style="64"/>
    <col min="2553" max="2553" width="54.54296875" style="64" customWidth="1"/>
    <col min="2554" max="2554" width="28.453125" style="64" customWidth="1"/>
    <col min="2555" max="2555" width="9.1796875" style="64"/>
    <col min="2556" max="2556" width="18.54296875" style="64" customWidth="1"/>
    <col min="2557" max="2557" width="21.54296875" style="64" customWidth="1"/>
    <col min="2558" max="2808" width="9.1796875" style="64"/>
    <col min="2809" max="2809" width="54.54296875" style="64" customWidth="1"/>
    <col min="2810" max="2810" width="28.453125" style="64" customWidth="1"/>
    <col min="2811" max="2811" width="9.1796875" style="64"/>
    <col min="2812" max="2812" width="18.54296875" style="64" customWidth="1"/>
    <col min="2813" max="2813" width="21.54296875" style="64" customWidth="1"/>
    <col min="2814" max="3064" width="9.1796875" style="64"/>
    <col min="3065" max="3065" width="54.54296875" style="64" customWidth="1"/>
    <col min="3066" max="3066" width="28.453125" style="64" customWidth="1"/>
    <col min="3067" max="3067" width="9.1796875" style="64"/>
    <col min="3068" max="3068" width="18.54296875" style="64" customWidth="1"/>
    <col min="3069" max="3069" width="21.54296875" style="64" customWidth="1"/>
    <col min="3070" max="3320" width="9.1796875" style="64"/>
    <col min="3321" max="3321" width="54.54296875" style="64" customWidth="1"/>
    <col min="3322" max="3322" width="28.453125" style="64" customWidth="1"/>
    <col min="3323" max="3323" width="9.1796875" style="64"/>
    <col min="3324" max="3324" width="18.54296875" style="64" customWidth="1"/>
    <col min="3325" max="3325" width="21.54296875" style="64" customWidth="1"/>
    <col min="3326" max="3576" width="9.1796875" style="64"/>
    <col min="3577" max="3577" width="54.54296875" style="64" customWidth="1"/>
    <col min="3578" max="3578" width="28.453125" style="64" customWidth="1"/>
    <col min="3579" max="3579" width="9.1796875" style="64"/>
    <col min="3580" max="3580" width="18.54296875" style="64" customWidth="1"/>
    <col min="3581" max="3581" width="21.54296875" style="64" customWidth="1"/>
    <col min="3582" max="3832" width="9.1796875" style="64"/>
    <col min="3833" max="3833" width="54.54296875" style="64" customWidth="1"/>
    <col min="3834" max="3834" width="28.453125" style="64" customWidth="1"/>
    <col min="3835" max="3835" width="9.1796875" style="64"/>
    <col min="3836" max="3836" width="18.54296875" style="64" customWidth="1"/>
    <col min="3837" max="3837" width="21.54296875" style="64" customWidth="1"/>
    <col min="3838" max="4088" width="9.1796875" style="64"/>
    <col min="4089" max="4089" width="54.54296875" style="64" customWidth="1"/>
    <col min="4090" max="4090" width="28.453125" style="64" customWidth="1"/>
    <col min="4091" max="4091" width="9.1796875" style="64"/>
    <col min="4092" max="4092" width="18.54296875" style="64" customWidth="1"/>
    <col min="4093" max="4093" width="21.54296875" style="64" customWidth="1"/>
    <col min="4094" max="4344" width="9.1796875" style="64"/>
    <col min="4345" max="4345" width="54.54296875" style="64" customWidth="1"/>
    <col min="4346" max="4346" width="28.453125" style="64" customWidth="1"/>
    <col min="4347" max="4347" width="9.1796875" style="64"/>
    <col min="4348" max="4348" width="18.54296875" style="64" customWidth="1"/>
    <col min="4349" max="4349" width="21.54296875" style="64" customWidth="1"/>
    <col min="4350" max="4600" width="9.1796875" style="64"/>
    <col min="4601" max="4601" width="54.54296875" style="64" customWidth="1"/>
    <col min="4602" max="4602" width="28.453125" style="64" customWidth="1"/>
    <col min="4603" max="4603" width="9.1796875" style="64"/>
    <col min="4604" max="4604" width="18.54296875" style="64" customWidth="1"/>
    <col min="4605" max="4605" width="21.54296875" style="64" customWidth="1"/>
    <col min="4606" max="4856" width="9.1796875" style="64"/>
    <col min="4857" max="4857" width="54.54296875" style="64" customWidth="1"/>
    <col min="4858" max="4858" width="28.453125" style="64" customWidth="1"/>
    <col min="4859" max="4859" width="9.1796875" style="64"/>
    <col min="4860" max="4860" width="18.54296875" style="64" customWidth="1"/>
    <col min="4861" max="4861" width="21.54296875" style="64" customWidth="1"/>
    <col min="4862" max="5112" width="9.1796875" style="64"/>
    <col min="5113" max="5113" width="54.54296875" style="64" customWidth="1"/>
    <col min="5114" max="5114" width="28.453125" style="64" customWidth="1"/>
    <col min="5115" max="5115" width="9.1796875" style="64"/>
    <col min="5116" max="5116" width="18.54296875" style="64" customWidth="1"/>
    <col min="5117" max="5117" width="21.54296875" style="64" customWidth="1"/>
    <col min="5118" max="5368" width="9.1796875" style="64"/>
    <col min="5369" max="5369" width="54.54296875" style="64" customWidth="1"/>
    <col min="5370" max="5370" width="28.453125" style="64" customWidth="1"/>
    <col min="5371" max="5371" width="9.1796875" style="64"/>
    <col min="5372" max="5372" width="18.54296875" style="64" customWidth="1"/>
    <col min="5373" max="5373" width="21.54296875" style="64" customWidth="1"/>
    <col min="5374" max="5624" width="9.1796875" style="64"/>
    <col min="5625" max="5625" width="54.54296875" style="64" customWidth="1"/>
    <col min="5626" max="5626" width="28.453125" style="64" customWidth="1"/>
    <col min="5627" max="5627" width="9.1796875" style="64"/>
    <col min="5628" max="5628" width="18.54296875" style="64" customWidth="1"/>
    <col min="5629" max="5629" width="21.54296875" style="64" customWidth="1"/>
    <col min="5630" max="5880" width="9.1796875" style="64"/>
    <col min="5881" max="5881" width="54.54296875" style="64" customWidth="1"/>
    <col min="5882" max="5882" width="28.453125" style="64" customWidth="1"/>
    <col min="5883" max="5883" width="9.1796875" style="64"/>
    <col min="5884" max="5884" width="18.54296875" style="64" customWidth="1"/>
    <col min="5885" max="5885" width="21.54296875" style="64" customWidth="1"/>
    <col min="5886" max="6136" width="9.1796875" style="64"/>
    <col min="6137" max="6137" width="54.54296875" style="64" customWidth="1"/>
    <col min="6138" max="6138" width="28.453125" style="64" customWidth="1"/>
    <col min="6139" max="6139" width="9.1796875" style="64"/>
    <col min="6140" max="6140" width="18.54296875" style="64" customWidth="1"/>
    <col min="6141" max="6141" width="21.54296875" style="64" customWidth="1"/>
    <col min="6142" max="6392" width="9.1796875" style="64"/>
    <col min="6393" max="6393" width="54.54296875" style="64" customWidth="1"/>
    <col min="6394" max="6394" width="28.453125" style="64" customWidth="1"/>
    <col min="6395" max="6395" width="9.1796875" style="64"/>
    <col min="6396" max="6396" width="18.54296875" style="64" customWidth="1"/>
    <col min="6397" max="6397" width="21.54296875" style="64" customWidth="1"/>
    <col min="6398" max="6648" width="9.1796875" style="64"/>
    <col min="6649" max="6649" width="54.54296875" style="64" customWidth="1"/>
    <col min="6650" max="6650" width="28.453125" style="64" customWidth="1"/>
    <col min="6651" max="6651" width="9.1796875" style="64"/>
    <col min="6652" max="6652" width="18.54296875" style="64" customWidth="1"/>
    <col min="6653" max="6653" width="21.54296875" style="64" customWidth="1"/>
    <col min="6654" max="6904" width="9.1796875" style="64"/>
    <col min="6905" max="6905" width="54.54296875" style="64" customWidth="1"/>
    <col min="6906" max="6906" width="28.453125" style="64" customWidth="1"/>
    <col min="6907" max="6907" width="9.1796875" style="64"/>
    <col min="6908" max="6908" width="18.54296875" style="64" customWidth="1"/>
    <col min="6909" max="6909" width="21.54296875" style="64" customWidth="1"/>
    <col min="6910" max="7160" width="9.1796875" style="64"/>
    <col min="7161" max="7161" width="54.54296875" style="64" customWidth="1"/>
    <col min="7162" max="7162" width="28.453125" style="64" customWidth="1"/>
    <col min="7163" max="7163" width="9.1796875" style="64"/>
    <col min="7164" max="7164" width="18.54296875" style="64" customWidth="1"/>
    <col min="7165" max="7165" width="21.54296875" style="64" customWidth="1"/>
    <col min="7166" max="7416" width="9.1796875" style="64"/>
    <col min="7417" max="7417" width="54.54296875" style="64" customWidth="1"/>
    <col min="7418" max="7418" width="28.453125" style="64" customWidth="1"/>
    <col min="7419" max="7419" width="9.1796875" style="64"/>
    <col min="7420" max="7420" width="18.54296875" style="64" customWidth="1"/>
    <col min="7421" max="7421" width="21.54296875" style="64" customWidth="1"/>
    <col min="7422" max="7672" width="9.1796875" style="64"/>
    <col min="7673" max="7673" width="54.54296875" style="64" customWidth="1"/>
    <col min="7674" max="7674" width="28.453125" style="64" customWidth="1"/>
    <col min="7675" max="7675" width="9.1796875" style="64"/>
    <col min="7676" max="7676" width="18.54296875" style="64" customWidth="1"/>
    <col min="7677" max="7677" width="21.54296875" style="64" customWidth="1"/>
    <col min="7678" max="7928" width="9.1796875" style="64"/>
    <col min="7929" max="7929" width="54.54296875" style="64" customWidth="1"/>
    <col min="7930" max="7930" width="28.453125" style="64" customWidth="1"/>
    <col min="7931" max="7931" width="9.1796875" style="64"/>
    <col min="7932" max="7932" width="18.54296875" style="64" customWidth="1"/>
    <col min="7933" max="7933" width="21.54296875" style="64" customWidth="1"/>
    <col min="7934" max="8184" width="9.1796875" style="64"/>
    <col min="8185" max="8185" width="54.54296875" style="64" customWidth="1"/>
    <col min="8186" max="8186" width="28.453125" style="64" customWidth="1"/>
    <col min="8187" max="8187" width="9.1796875" style="64"/>
    <col min="8188" max="8188" width="18.54296875" style="64" customWidth="1"/>
    <col min="8189" max="8189" width="21.54296875" style="64" customWidth="1"/>
    <col min="8190" max="8440" width="9.1796875" style="64"/>
    <col min="8441" max="8441" width="54.54296875" style="64" customWidth="1"/>
    <col min="8442" max="8442" width="28.453125" style="64" customWidth="1"/>
    <col min="8443" max="8443" width="9.1796875" style="64"/>
    <col min="8444" max="8444" width="18.54296875" style="64" customWidth="1"/>
    <col min="8445" max="8445" width="21.54296875" style="64" customWidth="1"/>
    <col min="8446" max="8696" width="9.1796875" style="64"/>
    <col min="8697" max="8697" width="54.54296875" style="64" customWidth="1"/>
    <col min="8698" max="8698" width="28.453125" style="64" customWidth="1"/>
    <col min="8699" max="8699" width="9.1796875" style="64"/>
    <col min="8700" max="8700" width="18.54296875" style="64" customWidth="1"/>
    <col min="8701" max="8701" width="21.54296875" style="64" customWidth="1"/>
    <col min="8702" max="8952" width="9.1796875" style="64"/>
    <col min="8953" max="8953" width="54.54296875" style="64" customWidth="1"/>
    <col min="8954" max="8954" width="28.453125" style="64" customWidth="1"/>
    <col min="8955" max="8955" width="9.1796875" style="64"/>
    <col min="8956" max="8956" width="18.54296875" style="64" customWidth="1"/>
    <col min="8957" max="8957" width="21.54296875" style="64" customWidth="1"/>
    <col min="8958" max="9208" width="9.1796875" style="64"/>
    <col min="9209" max="9209" width="54.54296875" style="64" customWidth="1"/>
    <col min="9210" max="9210" width="28.453125" style="64" customWidth="1"/>
    <col min="9211" max="9211" width="9.1796875" style="64"/>
    <col min="9212" max="9212" width="18.54296875" style="64" customWidth="1"/>
    <col min="9213" max="9213" width="21.54296875" style="64" customWidth="1"/>
    <col min="9214" max="9464" width="9.1796875" style="64"/>
    <col min="9465" max="9465" width="54.54296875" style="64" customWidth="1"/>
    <col min="9466" max="9466" width="28.453125" style="64" customWidth="1"/>
    <col min="9467" max="9467" width="9.1796875" style="64"/>
    <col min="9468" max="9468" width="18.54296875" style="64" customWidth="1"/>
    <col min="9469" max="9469" width="21.54296875" style="64" customWidth="1"/>
    <col min="9470" max="9720" width="9.1796875" style="64"/>
    <col min="9721" max="9721" width="54.54296875" style="64" customWidth="1"/>
    <col min="9722" max="9722" width="28.453125" style="64" customWidth="1"/>
    <col min="9723" max="9723" width="9.1796875" style="64"/>
    <col min="9724" max="9724" width="18.54296875" style="64" customWidth="1"/>
    <col min="9725" max="9725" width="21.54296875" style="64" customWidth="1"/>
    <col min="9726" max="9976" width="9.1796875" style="64"/>
    <col min="9977" max="9977" width="54.54296875" style="64" customWidth="1"/>
    <col min="9978" max="9978" width="28.453125" style="64" customWidth="1"/>
    <col min="9979" max="9979" width="9.1796875" style="64"/>
    <col min="9980" max="9980" width="18.54296875" style="64" customWidth="1"/>
    <col min="9981" max="9981" width="21.54296875" style="64" customWidth="1"/>
    <col min="9982" max="10232" width="9.1796875" style="64"/>
    <col min="10233" max="10233" width="54.54296875" style="64" customWidth="1"/>
    <col min="10234" max="10234" width="28.453125" style="64" customWidth="1"/>
    <col min="10235" max="10235" width="9.1796875" style="64"/>
    <col min="10236" max="10236" width="18.54296875" style="64" customWidth="1"/>
    <col min="10237" max="10237" width="21.54296875" style="64" customWidth="1"/>
    <col min="10238" max="10488" width="9.1796875" style="64"/>
    <col min="10489" max="10489" width="54.54296875" style="64" customWidth="1"/>
    <col min="10490" max="10490" width="28.453125" style="64" customWidth="1"/>
    <col min="10491" max="10491" width="9.1796875" style="64"/>
    <col min="10492" max="10492" width="18.54296875" style="64" customWidth="1"/>
    <col min="10493" max="10493" width="21.54296875" style="64" customWidth="1"/>
    <col min="10494" max="10744" width="9.1796875" style="64"/>
    <col min="10745" max="10745" width="54.54296875" style="64" customWidth="1"/>
    <col min="10746" max="10746" width="28.453125" style="64" customWidth="1"/>
    <col min="10747" max="10747" width="9.1796875" style="64"/>
    <col min="10748" max="10748" width="18.54296875" style="64" customWidth="1"/>
    <col min="10749" max="10749" width="21.54296875" style="64" customWidth="1"/>
    <col min="10750" max="11000" width="9.1796875" style="64"/>
    <col min="11001" max="11001" width="54.54296875" style="64" customWidth="1"/>
    <col min="11002" max="11002" width="28.453125" style="64" customWidth="1"/>
    <col min="11003" max="11003" width="9.1796875" style="64"/>
    <col min="11004" max="11004" width="18.54296875" style="64" customWidth="1"/>
    <col min="11005" max="11005" width="21.54296875" style="64" customWidth="1"/>
    <col min="11006" max="11256" width="9.1796875" style="64"/>
    <col min="11257" max="11257" width="54.54296875" style="64" customWidth="1"/>
    <col min="11258" max="11258" width="28.453125" style="64" customWidth="1"/>
    <col min="11259" max="11259" width="9.1796875" style="64"/>
    <col min="11260" max="11260" width="18.54296875" style="64" customWidth="1"/>
    <col min="11261" max="11261" width="21.54296875" style="64" customWidth="1"/>
    <col min="11262" max="11512" width="9.1796875" style="64"/>
    <col min="11513" max="11513" width="54.54296875" style="64" customWidth="1"/>
    <col min="11514" max="11514" width="28.453125" style="64" customWidth="1"/>
    <col min="11515" max="11515" width="9.1796875" style="64"/>
    <col min="11516" max="11516" width="18.54296875" style="64" customWidth="1"/>
    <col min="11517" max="11517" width="21.54296875" style="64" customWidth="1"/>
    <col min="11518" max="11768" width="9.1796875" style="64"/>
    <col min="11769" max="11769" width="54.54296875" style="64" customWidth="1"/>
    <col min="11770" max="11770" width="28.453125" style="64" customWidth="1"/>
    <col min="11771" max="11771" width="9.1796875" style="64"/>
    <col min="11772" max="11772" width="18.54296875" style="64" customWidth="1"/>
    <col min="11773" max="11773" width="21.54296875" style="64" customWidth="1"/>
    <col min="11774" max="12024" width="9.1796875" style="64"/>
    <col min="12025" max="12025" width="54.54296875" style="64" customWidth="1"/>
    <col min="12026" max="12026" width="28.453125" style="64" customWidth="1"/>
    <col min="12027" max="12027" width="9.1796875" style="64"/>
    <col min="12028" max="12028" width="18.54296875" style="64" customWidth="1"/>
    <col min="12029" max="12029" width="21.54296875" style="64" customWidth="1"/>
    <col min="12030" max="12280" width="9.1796875" style="64"/>
    <col min="12281" max="12281" width="54.54296875" style="64" customWidth="1"/>
    <col min="12282" max="12282" width="28.453125" style="64" customWidth="1"/>
    <col min="12283" max="12283" width="9.1796875" style="64"/>
    <col min="12284" max="12284" width="18.54296875" style="64" customWidth="1"/>
    <col min="12285" max="12285" width="21.54296875" style="64" customWidth="1"/>
    <col min="12286" max="12536" width="9.1796875" style="64"/>
    <col min="12537" max="12537" width="54.54296875" style="64" customWidth="1"/>
    <col min="12538" max="12538" width="28.453125" style="64" customWidth="1"/>
    <col min="12539" max="12539" width="9.1796875" style="64"/>
    <col min="12540" max="12540" width="18.54296875" style="64" customWidth="1"/>
    <col min="12541" max="12541" width="21.54296875" style="64" customWidth="1"/>
    <col min="12542" max="12792" width="9.1796875" style="64"/>
    <col min="12793" max="12793" width="54.54296875" style="64" customWidth="1"/>
    <col min="12794" max="12794" width="28.453125" style="64" customWidth="1"/>
    <col min="12795" max="12795" width="9.1796875" style="64"/>
    <col min="12796" max="12796" width="18.54296875" style="64" customWidth="1"/>
    <col min="12797" max="12797" width="21.54296875" style="64" customWidth="1"/>
    <col min="12798" max="13048" width="9.1796875" style="64"/>
    <col min="13049" max="13049" width="54.54296875" style="64" customWidth="1"/>
    <col min="13050" max="13050" width="28.453125" style="64" customWidth="1"/>
    <col min="13051" max="13051" width="9.1796875" style="64"/>
    <col min="13052" max="13052" width="18.54296875" style="64" customWidth="1"/>
    <col min="13053" max="13053" width="21.54296875" style="64" customWidth="1"/>
    <col min="13054" max="13304" width="9.1796875" style="64"/>
    <col min="13305" max="13305" width="54.54296875" style="64" customWidth="1"/>
    <col min="13306" max="13306" width="28.453125" style="64" customWidth="1"/>
    <col min="13307" max="13307" width="9.1796875" style="64"/>
    <col min="13308" max="13308" width="18.54296875" style="64" customWidth="1"/>
    <col min="13309" max="13309" width="21.54296875" style="64" customWidth="1"/>
    <col min="13310" max="13560" width="9.1796875" style="64"/>
    <col min="13561" max="13561" width="54.54296875" style="64" customWidth="1"/>
    <col min="13562" max="13562" width="28.453125" style="64" customWidth="1"/>
    <col min="13563" max="13563" width="9.1796875" style="64"/>
    <col min="13564" max="13564" width="18.54296875" style="64" customWidth="1"/>
    <col min="13565" max="13565" width="21.54296875" style="64" customWidth="1"/>
    <col min="13566" max="13816" width="9.1796875" style="64"/>
    <col min="13817" max="13817" width="54.54296875" style="64" customWidth="1"/>
    <col min="13818" max="13818" width="28.453125" style="64" customWidth="1"/>
    <col min="13819" max="13819" width="9.1796875" style="64"/>
    <col min="13820" max="13820" width="18.54296875" style="64" customWidth="1"/>
    <col min="13821" max="13821" width="21.54296875" style="64" customWidth="1"/>
    <col min="13822" max="14072" width="9.1796875" style="64"/>
    <col min="14073" max="14073" width="54.54296875" style="64" customWidth="1"/>
    <col min="14074" max="14074" width="28.453125" style="64" customWidth="1"/>
    <col min="14075" max="14075" width="9.1796875" style="64"/>
    <col min="14076" max="14076" width="18.54296875" style="64" customWidth="1"/>
    <col min="14077" max="14077" width="21.54296875" style="64" customWidth="1"/>
    <col min="14078" max="14328" width="9.1796875" style="64"/>
    <col min="14329" max="14329" width="54.54296875" style="64" customWidth="1"/>
    <col min="14330" max="14330" width="28.453125" style="64" customWidth="1"/>
    <col min="14331" max="14331" width="9.1796875" style="64"/>
    <col min="14332" max="14332" width="18.54296875" style="64" customWidth="1"/>
    <col min="14333" max="14333" width="21.54296875" style="64" customWidth="1"/>
    <col min="14334" max="14584" width="9.1796875" style="64"/>
    <col min="14585" max="14585" width="54.54296875" style="64" customWidth="1"/>
    <col min="14586" max="14586" width="28.453125" style="64" customWidth="1"/>
    <col min="14587" max="14587" width="9.1796875" style="64"/>
    <col min="14588" max="14588" width="18.54296875" style="64" customWidth="1"/>
    <col min="14589" max="14589" width="21.54296875" style="64" customWidth="1"/>
    <col min="14590" max="14840" width="9.1796875" style="64"/>
    <col min="14841" max="14841" width="54.54296875" style="64" customWidth="1"/>
    <col min="14842" max="14842" width="28.453125" style="64" customWidth="1"/>
    <col min="14843" max="14843" width="9.1796875" style="64"/>
    <col min="14844" max="14844" width="18.54296875" style="64" customWidth="1"/>
    <col min="14845" max="14845" width="21.54296875" style="64" customWidth="1"/>
    <col min="14846" max="15096" width="9.1796875" style="64"/>
    <col min="15097" max="15097" width="54.54296875" style="64" customWidth="1"/>
    <col min="15098" max="15098" width="28.453125" style="64" customWidth="1"/>
    <col min="15099" max="15099" width="9.1796875" style="64"/>
    <col min="15100" max="15100" width="18.54296875" style="64" customWidth="1"/>
    <col min="15101" max="15101" width="21.54296875" style="64" customWidth="1"/>
    <col min="15102" max="15352" width="9.1796875" style="64"/>
    <col min="15353" max="15353" width="54.54296875" style="64" customWidth="1"/>
    <col min="15354" max="15354" width="28.453125" style="64" customWidth="1"/>
    <col min="15355" max="15355" width="9.1796875" style="64"/>
    <col min="15356" max="15356" width="18.54296875" style="64" customWidth="1"/>
    <col min="15357" max="15357" width="21.54296875" style="64" customWidth="1"/>
    <col min="15358" max="15608" width="9.1796875" style="64"/>
    <col min="15609" max="15609" width="54.54296875" style="64" customWidth="1"/>
    <col min="15610" max="15610" width="28.453125" style="64" customWidth="1"/>
    <col min="15611" max="15611" width="9.1796875" style="64"/>
    <col min="15612" max="15612" width="18.54296875" style="64" customWidth="1"/>
    <col min="15613" max="15613" width="21.54296875" style="64" customWidth="1"/>
    <col min="15614" max="15864" width="9.1796875" style="64"/>
    <col min="15865" max="15865" width="54.54296875" style="64" customWidth="1"/>
    <col min="15866" max="15866" width="28.453125" style="64" customWidth="1"/>
    <col min="15867" max="15867" width="9.1796875" style="64"/>
    <col min="15868" max="15868" width="18.54296875" style="64" customWidth="1"/>
    <col min="15869" max="15869" width="21.54296875" style="64" customWidth="1"/>
    <col min="15870" max="16120" width="9.1796875" style="64"/>
    <col min="16121" max="16121" width="54.54296875" style="64" customWidth="1"/>
    <col min="16122" max="16122" width="28.453125" style="64" customWidth="1"/>
    <col min="16123" max="16123" width="9.1796875" style="64"/>
    <col min="16124" max="16124" width="18.54296875" style="64" customWidth="1"/>
    <col min="16125" max="16125" width="21.54296875" style="64" customWidth="1"/>
    <col min="16126" max="16384" width="9.1796875" style="64"/>
  </cols>
  <sheetData>
    <row r="1" spans="1:15" x14ac:dyDescent="0.35">
      <c r="A1" s="63" t="s">
        <v>580</v>
      </c>
    </row>
    <row r="2" spans="1:15" x14ac:dyDescent="0.35">
      <c r="A2" s="207" t="s">
        <v>579</v>
      </c>
    </row>
    <row r="3" spans="1:15" x14ac:dyDescent="0.35">
      <c r="C3" s="70"/>
    </row>
    <row r="4" spans="1:15" x14ac:dyDescent="0.35">
      <c r="A4" s="63" t="s">
        <v>841</v>
      </c>
      <c r="C4" s="70"/>
    </row>
    <row r="5" spans="1:15" x14ac:dyDescent="0.35">
      <c r="C5" s="70"/>
    </row>
    <row r="6" spans="1:15" x14ac:dyDescent="0.35">
      <c r="A6" s="65" t="s">
        <v>842</v>
      </c>
    </row>
    <row r="7" spans="1:15" x14ac:dyDescent="0.35">
      <c r="A7" s="78"/>
    </row>
    <row r="8" spans="1:15" x14ac:dyDescent="0.35">
      <c r="C8" s="213" t="s">
        <v>843</v>
      </c>
    </row>
    <row r="9" spans="1:15" x14ac:dyDescent="0.35">
      <c r="C9" s="214" t="s">
        <v>4</v>
      </c>
    </row>
    <row r="10" spans="1:15" ht="16.5" x14ac:dyDescent="0.45">
      <c r="A10" s="271" t="s">
        <v>844</v>
      </c>
      <c r="B10" s="214" t="s">
        <v>7</v>
      </c>
      <c r="C10" s="272">
        <v>8110314.2608000003</v>
      </c>
      <c r="H10" s="107"/>
      <c r="I10" s="148"/>
      <c r="J10" s="107"/>
      <c r="K10" s="107"/>
      <c r="L10" s="107"/>
      <c r="O10" s="107"/>
    </row>
    <row r="12" spans="1:15" x14ac:dyDescent="0.35">
      <c r="A12" s="63" t="s">
        <v>845</v>
      </c>
    </row>
    <row r="16" spans="1:15" x14ac:dyDescent="0.35">
      <c r="A16" s="65" t="s">
        <v>846</v>
      </c>
    </row>
    <row r="18" spans="1:10" ht="25.5" customHeight="1" x14ac:dyDescent="0.35">
      <c r="C18" s="278" t="s">
        <v>846</v>
      </c>
      <c r="D18" s="280"/>
    </row>
    <row r="19" spans="1:10" ht="90" customHeight="1" x14ac:dyDescent="0.35">
      <c r="C19" s="214" t="s">
        <v>847</v>
      </c>
      <c r="D19" s="214" t="s">
        <v>848</v>
      </c>
    </row>
    <row r="20" spans="1:10" x14ac:dyDescent="0.35">
      <c r="C20" s="214" t="s">
        <v>183</v>
      </c>
      <c r="D20" s="214" t="s">
        <v>184</v>
      </c>
    </row>
    <row r="21" spans="1:10" x14ac:dyDescent="0.35">
      <c r="A21" s="271" t="s">
        <v>849</v>
      </c>
      <c r="B21" s="214" t="s">
        <v>9</v>
      </c>
      <c r="C21" s="272">
        <v>1931462.54006</v>
      </c>
      <c r="D21" s="272">
        <v>2740865.5231399997</v>
      </c>
      <c r="E21" s="150"/>
      <c r="I21" s="150"/>
      <c r="J21" s="70"/>
    </row>
    <row r="22" spans="1:10" x14ac:dyDescent="0.35">
      <c r="A22" s="271" t="s">
        <v>850</v>
      </c>
      <c r="B22" s="214" t="s">
        <v>11</v>
      </c>
      <c r="C22" s="272">
        <v>5797260.7960999999</v>
      </c>
      <c r="D22" s="272">
        <v>3479974.5032100002</v>
      </c>
      <c r="E22" s="150"/>
      <c r="I22" s="150"/>
      <c r="J22" s="70"/>
    </row>
    <row r="23" spans="1:10" x14ac:dyDescent="0.35">
      <c r="A23" s="271" t="s">
        <v>851</v>
      </c>
      <c r="B23" s="214" t="s">
        <v>13</v>
      </c>
      <c r="C23" s="272">
        <v>4987833.5278900005</v>
      </c>
      <c r="D23" s="272">
        <v>1952969.67025</v>
      </c>
      <c r="E23" s="150"/>
      <c r="I23" s="150"/>
      <c r="J23" s="70"/>
    </row>
    <row r="24" spans="1:10" x14ac:dyDescent="0.35">
      <c r="A24" s="273" t="s">
        <v>852</v>
      </c>
      <c r="B24" s="214" t="s">
        <v>15</v>
      </c>
      <c r="C24" s="272">
        <v>15505109.588620001</v>
      </c>
      <c r="D24" s="272">
        <v>5349668.30516</v>
      </c>
      <c r="E24" s="150"/>
      <c r="I24" s="150"/>
      <c r="J24" s="70"/>
    </row>
    <row r="25" spans="1:10" x14ac:dyDescent="0.35">
      <c r="A25" s="273" t="s">
        <v>853</v>
      </c>
      <c r="B25" s="214" t="s">
        <v>17</v>
      </c>
      <c r="C25" s="272">
        <v>4218124.12634</v>
      </c>
      <c r="D25" s="272">
        <v>14035259.010059999</v>
      </c>
      <c r="E25" s="150"/>
      <c r="I25" s="150"/>
      <c r="J25" s="70"/>
    </row>
    <row r="26" spans="1:10" x14ac:dyDescent="0.35">
      <c r="A26" s="274" t="s">
        <v>854</v>
      </c>
      <c r="B26" s="214" t="s">
        <v>19</v>
      </c>
      <c r="C26" s="272">
        <v>758379.88388999994</v>
      </c>
      <c r="D26" s="272">
        <v>988724.12205000001</v>
      </c>
      <c r="E26" s="150"/>
      <c r="I26" s="150"/>
      <c r="J26" s="70"/>
    </row>
    <row r="27" spans="1:10" ht="29" x14ac:dyDescent="0.35">
      <c r="A27" s="274" t="s">
        <v>855</v>
      </c>
      <c r="B27" s="214" t="s">
        <v>21</v>
      </c>
      <c r="C27" s="272">
        <v>8524466.7029799987</v>
      </c>
      <c r="D27" s="272">
        <v>14194205.371819999</v>
      </c>
      <c r="E27" s="150"/>
      <c r="I27" s="150"/>
      <c r="J27" s="70"/>
    </row>
    <row r="28" spans="1:10" x14ac:dyDescent="0.35">
      <c r="A28" s="273" t="s">
        <v>856</v>
      </c>
      <c r="B28" s="214" t="s">
        <v>23</v>
      </c>
      <c r="C28" s="272">
        <v>5224569.6267799996</v>
      </c>
      <c r="D28" s="272">
        <v>2633340.54513</v>
      </c>
      <c r="E28" s="150"/>
      <c r="I28" s="150"/>
      <c r="J28" s="70"/>
    </row>
    <row r="29" spans="1:10" x14ac:dyDescent="0.35">
      <c r="A29" s="273" t="s">
        <v>857</v>
      </c>
      <c r="B29" s="214" t="s">
        <v>25</v>
      </c>
      <c r="C29" s="272"/>
      <c r="D29" s="272"/>
      <c r="E29" s="150"/>
      <c r="I29" s="150"/>
      <c r="J29" s="70"/>
    </row>
    <row r="30" spans="1:10" x14ac:dyDescent="0.35">
      <c r="A30" s="273" t="s">
        <v>858</v>
      </c>
      <c r="B30" s="214" t="s">
        <v>27</v>
      </c>
      <c r="C30" s="272"/>
      <c r="D30" s="272"/>
      <c r="E30" s="150"/>
      <c r="I30" s="150"/>
      <c r="J30" s="70"/>
    </row>
    <row r="31" spans="1:10" x14ac:dyDescent="0.35">
      <c r="A31" s="273" t="s">
        <v>859</v>
      </c>
      <c r="B31" s="214" t="s">
        <v>29</v>
      </c>
      <c r="C31" s="272"/>
      <c r="D31" s="272"/>
      <c r="E31" s="150"/>
      <c r="I31" s="150"/>
      <c r="J31" s="70"/>
    </row>
    <row r="32" spans="1:10" ht="30" customHeight="1" x14ac:dyDescent="0.35">
      <c r="A32" s="274" t="s">
        <v>860</v>
      </c>
      <c r="B32" s="214" t="s">
        <v>31</v>
      </c>
      <c r="C32" s="272"/>
      <c r="D32" s="272"/>
      <c r="E32" s="150"/>
      <c r="I32" s="150"/>
      <c r="J32" s="70"/>
    </row>
    <row r="33" spans="1:15" x14ac:dyDescent="0.35">
      <c r="A33" s="167" t="s">
        <v>305</v>
      </c>
      <c r="B33" s="214" t="s">
        <v>33</v>
      </c>
      <c r="C33" s="272"/>
      <c r="D33" s="272"/>
      <c r="E33" s="150"/>
      <c r="I33" s="150"/>
      <c r="J33" s="70"/>
    </row>
    <row r="34" spans="1:15" x14ac:dyDescent="0.35">
      <c r="A34" s="273" t="s">
        <v>306</v>
      </c>
      <c r="B34" s="214" t="s">
        <v>35</v>
      </c>
      <c r="C34" s="272"/>
      <c r="D34" s="272"/>
      <c r="E34" s="150"/>
      <c r="I34" s="150"/>
      <c r="J34" s="70"/>
    </row>
    <row r="35" spans="1:15" x14ac:dyDescent="0.35">
      <c r="A35" s="273" t="s">
        <v>307</v>
      </c>
      <c r="B35" s="214" t="s">
        <v>37</v>
      </c>
      <c r="C35" s="272"/>
      <c r="D35" s="272"/>
      <c r="E35" s="150"/>
      <c r="I35" s="150"/>
      <c r="J35" s="70"/>
    </row>
    <row r="36" spans="1:15" x14ac:dyDescent="0.35">
      <c r="A36" s="273" t="s">
        <v>308</v>
      </c>
      <c r="B36" s="214" t="s">
        <v>39</v>
      </c>
      <c r="C36" s="272"/>
      <c r="D36" s="272"/>
      <c r="I36" s="150"/>
      <c r="J36" s="70"/>
    </row>
    <row r="38" spans="1:15" ht="16.5" customHeight="1" x14ac:dyDescent="0.35"/>
    <row r="39" spans="1:15" x14ac:dyDescent="0.35">
      <c r="C39" s="107"/>
      <c r="D39" s="107"/>
    </row>
    <row r="40" spans="1:15" x14ac:dyDescent="0.35">
      <c r="C40" s="107"/>
      <c r="D40" s="107"/>
      <c r="F40" s="70"/>
      <c r="G40" s="107"/>
      <c r="H40" s="107"/>
      <c r="I40" s="107"/>
      <c r="J40" s="107"/>
      <c r="K40" s="107"/>
      <c r="M40" s="107"/>
      <c r="N40" s="107"/>
      <c r="O40" s="107"/>
    </row>
    <row r="41" spans="1:15" x14ac:dyDescent="0.35">
      <c r="C41" s="107"/>
      <c r="D41" s="107"/>
    </row>
    <row r="42" spans="1:15" x14ac:dyDescent="0.35">
      <c r="C42" s="107"/>
      <c r="D42" s="107"/>
    </row>
    <row r="44" spans="1:15" x14ac:dyDescent="0.35">
      <c r="A44" s="63" t="s">
        <v>861</v>
      </c>
    </row>
    <row r="46" spans="1:15" x14ac:dyDescent="0.35">
      <c r="A46" s="65" t="s">
        <v>862</v>
      </c>
    </row>
    <row r="47" spans="1:15" x14ac:dyDescent="0.35">
      <c r="A47" s="78"/>
    </row>
    <row r="48" spans="1:15" x14ac:dyDescent="0.35">
      <c r="A48" s="78"/>
      <c r="C48" s="214" t="s">
        <v>185</v>
      </c>
    </row>
    <row r="49" spans="1:10" ht="16.5" x14ac:dyDescent="0.45">
      <c r="A49" s="271" t="s">
        <v>863</v>
      </c>
      <c r="B49" s="214" t="s">
        <v>45</v>
      </c>
      <c r="C49" s="272">
        <v>481199.21548000001</v>
      </c>
      <c r="H49" s="107"/>
      <c r="I49" s="148"/>
      <c r="J49" s="107"/>
    </row>
    <row r="51" spans="1:10" x14ac:dyDescent="0.35">
      <c r="A51" s="63" t="s">
        <v>864</v>
      </c>
    </row>
    <row r="55" spans="1:10" x14ac:dyDescent="0.35">
      <c r="A55" s="65" t="s">
        <v>865</v>
      </c>
    </row>
    <row r="57" spans="1:10" ht="93" customHeight="1" x14ac:dyDescent="0.35">
      <c r="C57" s="275" t="s">
        <v>847</v>
      </c>
      <c r="D57" s="275" t="s">
        <v>866</v>
      </c>
    </row>
    <row r="58" spans="1:10" x14ac:dyDescent="0.35">
      <c r="C58" s="214" t="s">
        <v>186</v>
      </c>
      <c r="D58" s="214" t="s">
        <v>187</v>
      </c>
    </row>
    <row r="59" spans="1:10" x14ac:dyDescent="0.35">
      <c r="A59" s="271" t="s">
        <v>867</v>
      </c>
      <c r="B59" s="214" t="s">
        <v>47</v>
      </c>
      <c r="C59" s="276"/>
      <c r="D59" s="152"/>
      <c r="E59" s="70"/>
      <c r="F59" s="70"/>
    </row>
    <row r="60" spans="1:10" ht="30" customHeight="1" x14ac:dyDescent="0.35">
      <c r="A60" s="212" t="s">
        <v>868</v>
      </c>
      <c r="B60" s="214" t="s">
        <v>49</v>
      </c>
      <c r="C60" s="276"/>
      <c r="D60" s="152"/>
      <c r="E60" s="70"/>
      <c r="F60" s="70"/>
    </row>
    <row r="61" spans="1:10" x14ac:dyDescent="0.35">
      <c r="A61" s="271" t="s">
        <v>869</v>
      </c>
      <c r="B61" s="214" t="s">
        <v>51</v>
      </c>
      <c r="C61" s="276"/>
      <c r="D61" s="152"/>
      <c r="E61" s="70"/>
      <c r="F61" s="70"/>
    </row>
    <row r="62" spans="1:10" x14ac:dyDescent="0.35">
      <c r="A62" s="271" t="s">
        <v>870</v>
      </c>
      <c r="B62" s="214" t="s">
        <v>53</v>
      </c>
      <c r="C62" s="272">
        <v>22914248.356200002</v>
      </c>
      <c r="D62" s="152"/>
      <c r="E62" s="70"/>
      <c r="F62" s="70"/>
    </row>
    <row r="63" spans="1:10" x14ac:dyDescent="0.35">
      <c r="A63" s="271" t="s">
        <v>865</v>
      </c>
      <c r="B63" s="214" t="s">
        <v>55</v>
      </c>
      <c r="C63" s="152"/>
      <c r="D63" s="276"/>
      <c r="E63" s="70"/>
      <c r="F63" s="70"/>
    </row>
    <row r="64" spans="1:10" x14ac:dyDescent="0.35">
      <c r="C64" s="150"/>
      <c r="D64" s="70"/>
    </row>
    <row r="65" spans="1:8" x14ac:dyDescent="0.35">
      <c r="C65" s="148"/>
      <c r="D65" s="148"/>
    </row>
    <row r="66" spans="1:8" x14ac:dyDescent="0.35">
      <c r="C66" s="148"/>
      <c r="D66" s="148"/>
    </row>
    <row r="67" spans="1:8" x14ac:dyDescent="0.35">
      <c r="C67" s="148"/>
      <c r="D67" s="148"/>
    </row>
    <row r="68" spans="1:8" x14ac:dyDescent="0.35">
      <c r="C68" s="148"/>
      <c r="D68" s="148"/>
    </row>
    <row r="69" spans="1:8" x14ac:dyDescent="0.35">
      <c r="C69" s="148"/>
      <c r="D69" s="148"/>
    </row>
    <row r="70" spans="1:8" x14ac:dyDescent="0.35">
      <c r="A70" s="63" t="s">
        <v>871</v>
      </c>
      <c r="C70" s="148"/>
      <c r="D70" s="148"/>
    </row>
    <row r="71" spans="1:8" x14ac:dyDescent="0.35">
      <c r="A71" s="195"/>
    </row>
    <row r="72" spans="1:8" x14ac:dyDescent="0.35">
      <c r="A72" s="195"/>
    </row>
    <row r="73" spans="1:8" x14ac:dyDescent="0.35">
      <c r="A73" s="195"/>
    </row>
    <row r="74" spans="1:8" x14ac:dyDescent="0.35">
      <c r="A74" s="65" t="s">
        <v>872</v>
      </c>
    </row>
    <row r="76" spans="1:8" x14ac:dyDescent="0.35">
      <c r="B76" s="210"/>
      <c r="C76" s="214" t="s">
        <v>188</v>
      </c>
    </row>
    <row r="77" spans="1:8" x14ac:dyDescent="0.35">
      <c r="A77" s="273" t="s">
        <v>873</v>
      </c>
      <c r="B77" s="214" t="s">
        <v>65</v>
      </c>
      <c r="C77" s="272">
        <v>8591513.4762800001</v>
      </c>
      <c r="E77" s="107"/>
      <c r="F77" s="107"/>
      <c r="G77" s="148"/>
      <c r="H77" s="107"/>
    </row>
    <row r="78" spans="1:8" x14ac:dyDescent="0.35">
      <c r="A78" s="273" t="s">
        <v>796</v>
      </c>
      <c r="B78" s="214" t="s">
        <v>67</v>
      </c>
      <c r="C78" s="272">
        <v>15186316.25052</v>
      </c>
      <c r="D78" s="70"/>
      <c r="E78" s="107"/>
      <c r="F78" s="107"/>
      <c r="G78" s="148"/>
      <c r="H78" s="107"/>
    </row>
    <row r="79" spans="1:8" x14ac:dyDescent="0.35">
      <c r="A79" s="273" t="s">
        <v>874</v>
      </c>
      <c r="B79" s="214" t="s">
        <v>69</v>
      </c>
      <c r="C79" s="272">
        <v>6833842.3127299994</v>
      </c>
      <c r="E79" s="107"/>
      <c r="F79" s="107"/>
      <c r="G79" s="148"/>
      <c r="H79" s="107"/>
    </row>
    <row r="80" spans="1:8" x14ac:dyDescent="0.35">
      <c r="A80" s="273" t="s">
        <v>875</v>
      </c>
      <c r="B80" s="214" t="s">
        <v>71</v>
      </c>
      <c r="C80" s="272">
        <v>3796579.0626300001</v>
      </c>
      <c r="E80" s="107"/>
      <c r="F80" s="107"/>
      <c r="G80" s="148"/>
      <c r="H80" s="107"/>
    </row>
    <row r="81" spans="1:8" x14ac:dyDescent="0.35">
      <c r="A81" s="273" t="s">
        <v>876</v>
      </c>
      <c r="B81" s="214" t="s">
        <v>73</v>
      </c>
      <c r="C81" s="272">
        <v>6833842.3127299994</v>
      </c>
      <c r="E81" s="107"/>
      <c r="F81" s="107"/>
      <c r="G81" s="148"/>
      <c r="H81" s="107"/>
    </row>
    <row r="82" spans="1:8" x14ac:dyDescent="0.35">
      <c r="A82" s="273" t="s">
        <v>877</v>
      </c>
      <c r="B82" s="214" t="s">
        <v>75</v>
      </c>
      <c r="C82" s="272">
        <v>39774.26</v>
      </c>
      <c r="E82" s="107"/>
      <c r="F82" s="107"/>
      <c r="G82" s="148"/>
      <c r="H82" s="107"/>
    </row>
    <row r="83" spans="1:8" x14ac:dyDescent="0.35">
      <c r="A83" s="277" t="s">
        <v>878</v>
      </c>
      <c r="B83" s="214" t="s">
        <v>85</v>
      </c>
      <c r="C83" s="272">
        <v>6833842.3127299994</v>
      </c>
      <c r="E83" s="107"/>
      <c r="F83" s="107"/>
      <c r="G83" s="148"/>
      <c r="H83" s="107"/>
    </row>
  </sheetData>
  <mergeCells count="1">
    <mergeCell ref="C18:D18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400A05-C788-4DD7-B828-EFA7EDDB73A8}">
  <dimension ref="A1:C100"/>
  <sheetViews>
    <sheetView showGridLines="0" topLeftCell="A4" zoomScale="80" zoomScaleNormal="80" workbookViewId="0">
      <selection activeCell="E27" sqref="E27"/>
    </sheetView>
  </sheetViews>
  <sheetFormatPr defaultColWidth="11.453125" defaultRowHeight="14.5" x14ac:dyDescent="0.35"/>
  <cols>
    <col min="1" max="1" width="77.54296875" style="64" customWidth="1"/>
    <col min="2" max="2" width="6.54296875" style="64" bestFit="1" customWidth="1"/>
    <col min="3" max="3" width="15.453125" style="64" bestFit="1" customWidth="1"/>
    <col min="4" max="4" width="11.453125" style="64"/>
    <col min="5" max="6" width="76.453125" style="64" customWidth="1"/>
    <col min="7" max="16384" width="11.453125" style="64"/>
  </cols>
  <sheetData>
    <row r="1" spans="1:3" hidden="1" x14ac:dyDescent="0.35">
      <c r="A1" s="63" t="s">
        <v>0</v>
      </c>
      <c r="B1" s="63"/>
      <c r="C1"/>
    </row>
    <row r="2" spans="1:3" hidden="1" x14ac:dyDescent="0.35">
      <c r="A2" s="65" t="s">
        <v>1</v>
      </c>
      <c r="B2" s="63"/>
      <c r="C2" s="63"/>
    </row>
    <row r="3" spans="1:3" hidden="1" x14ac:dyDescent="0.35">
      <c r="A3" s="65"/>
      <c r="B3" s="63"/>
      <c r="C3" s="63"/>
    </row>
    <row r="4" spans="1:3" x14ac:dyDescent="0.35">
      <c r="A4" s="63" t="s">
        <v>2</v>
      </c>
      <c r="B4" s="63"/>
      <c r="C4" s="63"/>
    </row>
    <row r="5" spans="1:3" x14ac:dyDescent="0.35">
      <c r="B5" s="63"/>
      <c r="C5" s="63"/>
    </row>
    <row r="6" spans="1:3" ht="15" customHeight="1" x14ac:dyDescent="0.35">
      <c r="A6" s="65" t="s">
        <v>1</v>
      </c>
      <c r="B6" s="65"/>
      <c r="C6" s="63"/>
    </row>
    <row r="7" spans="1:3" x14ac:dyDescent="0.35">
      <c r="A7" s="65"/>
      <c r="B7" s="65"/>
      <c r="C7" s="66"/>
    </row>
    <row r="8" spans="1:3" ht="17.25" customHeight="1" x14ac:dyDescent="0.35">
      <c r="A8" s="67"/>
      <c r="B8" s="67"/>
      <c r="C8" s="186" t="s">
        <v>3</v>
      </c>
    </row>
    <row r="9" spans="1:3" x14ac:dyDescent="0.35">
      <c r="A9" s="67"/>
      <c r="B9" s="67"/>
      <c r="C9" s="186" t="s">
        <v>4</v>
      </c>
    </row>
    <row r="10" spans="1:3" x14ac:dyDescent="0.35">
      <c r="A10" s="227" t="s">
        <v>5</v>
      </c>
      <c r="B10" s="228"/>
      <c r="C10" s="152"/>
    </row>
    <row r="11" spans="1:3" x14ac:dyDescent="0.35">
      <c r="A11" s="229" t="s">
        <v>6</v>
      </c>
      <c r="B11" s="228" t="s">
        <v>7</v>
      </c>
      <c r="C11" s="152"/>
    </row>
    <row r="12" spans="1:3" x14ac:dyDescent="0.35">
      <c r="A12" s="229" t="s">
        <v>8</v>
      </c>
      <c r="B12" s="228" t="s">
        <v>9</v>
      </c>
      <c r="C12" s="152"/>
    </row>
    <row r="13" spans="1:3" x14ac:dyDescent="0.35">
      <c r="A13" s="229" t="s">
        <v>10</v>
      </c>
      <c r="B13" s="228" t="s">
        <v>11</v>
      </c>
      <c r="C13" s="230"/>
    </row>
    <row r="14" spans="1:3" x14ac:dyDescent="0.35">
      <c r="A14" s="229" t="s">
        <v>12</v>
      </c>
      <c r="B14" s="228" t="s">
        <v>13</v>
      </c>
      <c r="C14" s="230"/>
    </row>
    <row r="15" spans="1:3" x14ac:dyDescent="0.35">
      <c r="A15" s="229" t="s">
        <v>14</v>
      </c>
      <c r="B15" s="228" t="s">
        <v>15</v>
      </c>
      <c r="C15" s="230"/>
    </row>
    <row r="16" spans="1:3" x14ac:dyDescent="0.35">
      <c r="A16" s="229" t="s">
        <v>16</v>
      </c>
      <c r="B16" s="228" t="s">
        <v>17</v>
      </c>
      <c r="C16" s="230">
        <v>1484307.1007300001</v>
      </c>
    </row>
    <row r="17" spans="1:3" s="70" customFormat="1" x14ac:dyDescent="0.35">
      <c r="A17" s="231" t="s">
        <v>18</v>
      </c>
      <c r="B17" s="228" t="s">
        <v>19</v>
      </c>
      <c r="C17" s="230">
        <v>104369643.4217</v>
      </c>
    </row>
    <row r="18" spans="1:3" x14ac:dyDescent="0.35">
      <c r="A18" s="232" t="s">
        <v>20</v>
      </c>
      <c r="B18" s="228" t="s">
        <v>21</v>
      </c>
      <c r="C18" s="230">
        <v>35059.485689999994</v>
      </c>
    </row>
    <row r="19" spans="1:3" x14ac:dyDescent="0.35">
      <c r="A19" s="232" t="s">
        <v>22</v>
      </c>
      <c r="B19" s="228" t="s">
        <v>23</v>
      </c>
      <c r="C19" s="230"/>
    </row>
    <row r="20" spans="1:3" x14ac:dyDescent="0.35">
      <c r="A20" s="232" t="s">
        <v>24</v>
      </c>
      <c r="B20" s="228" t="s">
        <v>25</v>
      </c>
      <c r="C20" s="230">
        <v>9083447.783950001</v>
      </c>
    </row>
    <row r="21" spans="1:3" x14ac:dyDescent="0.35">
      <c r="A21" s="233" t="s">
        <v>26</v>
      </c>
      <c r="B21" s="228" t="s">
        <v>27</v>
      </c>
      <c r="C21" s="230">
        <v>8983140.2952999994</v>
      </c>
    </row>
    <row r="22" spans="1:3" x14ac:dyDescent="0.35">
      <c r="A22" s="233" t="s">
        <v>28</v>
      </c>
      <c r="B22" s="228" t="s">
        <v>29</v>
      </c>
      <c r="C22" s="230">
        <v>100307.48865</v>
      </c>
    </row>
    <row r="23" spans="1:3" x14ac:dyDescent="0.35">
      <c r="A23" s="232" t="s">
        <v>30</v>
      </c>
      <c r="B23" s="228" t="s">
        <v>31</v>
      </c>
      <c r="C23" s="230">
        <v>90678451.938390002</v>
      </c>
    </row>
    <row r="24" spans="1:3" x14ac:dyDescent="0.35">
      <c r="A24" s="233" t="s">
        <v>32</v>
      </c>
      <c r="B24" s="228" t="s">
        <v>33</v>
      </c>
      <c r="C24" s="230">
        <v>6252670.9803900002</v>
      </c>
    </row>
    <row r="25" spans="1:3" x14ac:dyDescent="0.35">
      <c r="A25" s="233" t="s">
        <v>34</v>
      </c>
      <c r="B25" s="228" t="s">
        <v>35</v>
      </c>
      <c r="C25" s="230">
        <v>84425780.958000004</v>
      </c>
    </row>
    <row r="26" spans="1:3" x14ac:dyDescent="0.35">
      <c r="A26" s="233" t="s">
        <v>36</v>
      </c>
      <c r="B26" s="228" t="s">
        <v>37</v>
      </c>
      <c r="C26" s="230"/>
    </row>
    <row r="27" spans="1:3" x14ac:dyDescent="0.35">
      <c r="A27" s="233" t="s">
        <v>38</v>
      </c>
      <c r="B27" s="228" t="s">
        <v>39</v>
      </c>
      <c r="C27" s="230"/>
    </row>
    <row r="28" spans="1:3" x14ac:dyDescent="0.35">
      <c r="A28" s="232" t="s">
        <v>40</v>
      </c>
      <c r="B28" s="228" t="s">
        <v>41</v>
      </c>
      <c r="C28" s="234">
        <v>4432427.2762200003</v>
      </c>
    </row>
    <row r="29" spans="1:3" x14ac:dyDescent="0.35">
      <c r="A29" s="232" t="s">
        <v>42</v>
      </c>
      <c r="B29" s="228" t="s">
        <v>43</v>
      </c>
      <c r="C29" s="230">
        <v>140256.93745</v>
      </c>
    </row>
    <row r="30" spans="1:3" x14ac:dyDescent="0.35">
      <c r="A30" s="232" t="s">
        <v>44</v>
      </c>
      <c r="B30" s="228" t="s">
        <v>45</v>
      </c>
      <c r="C30" s="230"/>
    </row>
    <row r="31" spans="1:3" x14ac:dyDescent="0.35">
      <c r="A31" s="232" t="s">
        <v>46</v>
      </c>
      <c r="B31" s="228" t="s">
        <v>47</v>
      </c>
      <c r="C31" s="230"/>
    </row>
    <row r="32" spans="1:3" x14ac:dyDescent="0.35">
      <c r="A32" s="229" t="s">
        <v>48</v>
      </c>
      <c r="B32" s="228" t="s">
        <v>49</v>
      </c>
      <c r="C32" s="230"/>
    </row>
    <row r="33" spans="1:3" x14ac:dyDescent="0.35">
      <c r="A33" s="229" t="s">
        <v>50</v>
      </c>
      <c r="B33" s="228" t="s">
        <v>51</v>
      </c>
      <c r="C33" s="230">
        <v>1878866.2042</v>
      </c>
    </row>
    <row r="34" spans="1:3" x14ac:dyDescent="0.35">
      <c r="A34" s="232" t="s">
        <v>52</v>
      </c>
      <c r="B34" s="228" t="s">
        <v>53</v>
      </c>
      <c r="C34" s="230"/>
    </row>
    <row r="35" spans="1:3" x14ac:dyDescent="0.35">
      <c r="A35" s="232" t="s">
        <v>54</v>
      </c>
      <c r="B35" s="228" t="s">
        <v>55</v>
      </c>
      <c r="C35" s="230"/>
    </row>
    <row r="36" spans="1:3" x14ac:dyDescent="0.35">
      <c r="A36" s="232" t="s">
        <v>56</v>
      </c>
      <c r="B36" s="228" t="s">
        <v>57</v>
      </c>
      <c r="C36" s="230">
        <v>1878866.2042</v>
      </c>
    </row>
    <row r="37" spans="1:3" x14ac:dyDescent="0.35">
      <c r="A37" s="200" t="s">
        <v>58</v>
      </c>
      <c r="B37" s="228" t="s">
        <v>59</v>
      </c>
      <c r="C37" s="230">
        <v>1817167.06054</v>
      </c>
    </row>
    <row r="38" spans="1:3" x14ac:dyDescent="0.35">
      <c r="A38" s="235" t="s">
        <v>60</v>
      </c>
      <c r="B38" s="228" t="s">
        <v>61</v>
      </c>
      <c r="C38" s="230">
        <v>1817167.06054</v>
      </c>
    </row>
    <row r="39" spans="1:3" x14ac:dyDescent="0.35">
      <c r="A39" s="233" t="s">
        <v>62</v>
      </c>
      <c r="B39" s="228" t="s">
        <v>63</v>
      </c>
      <c r="C39" s="230">
        <v>1505463.17</v>
      </c>
    </row>
    <row r="40" spans="1:3" x14ac:dyDescent="0.35">
      <c r="A40" s="233" t="s">
        <v>64</v>
      </c>
      <c r="B40" s="228" t="s">
        <v>65</v>
      </c>
      <c r="C40" s="230">
        <v>311703.89053999999</v>
      </c>
    </row>
    <row r="41" spans="1:3" s="73" customFormat="1" ht="30" customHeight="1" x14ac:dyDescent="0.35">
      <c r="A41" s="236" t="s">
        <v>66</v>
      </c>
      <c r="B41" s="228" t="s">
        <v>67</v>
      </c>
      <c r="C41" s="230"/>
    </row>
    <row r="42" spans="1:3" x14ac:dyDescent="0.35">
      <c r="A42" s="233" t="s">
        <v>68</v>
      </c>
      <c r="B42" s="228" t="s">
        <v>69</v>
      </c>
      <c r="C42" s="230"/>
    </row>
    <row r="43" spans="1:3" x14ac:dyDescent="0.35">
      <c r="A43" s="233" t="s">
        <v>70</v>
      </c>
      <c r="B43" s="228" t="s">
        <v>71</v>
      </c>
      <c r="C43" s="230"/>
    </row>
    <row r="44" spans="1:3" x14ac:dyDescent="0.35">
      <c r="A44" s="232" t="s">
        <v>72</v>
      </c>
      <c r="B44" s="228" t="s">
        <v>73</v>
      </c>
      <c r="C44" s="230"/>
    </row>
    <row r="45" spans="1:3" x14ac:dyDescent="0.35">
      <c r="A45" s="229" t="s">
        <v>74</v>
      </c>
      <c r="B45" s="228" t="s">
        <v>75</v>
      </c>
      <c r="C45" s="230"/>
    </row>
    <row r="46" spans="1:3" x14ac:dyDescent="0.35">
      <c r="A46" s="229" t="s">
        <v>76</v>
      </c>
      <c r="B46" s="228" t="s">
        <v>77</v>
      </c>
      <c r="C46" s="230">
        <v>4313054.2729599997</v>
      </c>
    </row>
    <row r="47" spans="1:3" x14ac:dyDescent="0.35">
      <c r="A47" s="229" t="s">
        <v>78</v>
      </c>
      <c r="B47" s="228" t="s">
        <v>79</v>
      </c>
      <c r="C47" s="230">
        <v>212487.20071999999</v>
      </c>
    </row>
    <row r="48" spans="1:3" x14ac:dyDescent="0.35">
      <c r="A48" s="229" t="s">
        <v>80</v>
      </c>
      <c r="B48" s="228" t="s">
        <v>81</v>
      </c>
      <c r="C48" s="230">
        <v>1962929.55806</v>
      </c>
    </row>
    <row r="49" spans="1:3" x14ac:dyDescent="0.35">
      <c r="A49" s="229" t="s">
        <v>82</v>
      </c>
      <c r="B49" s="228" t="s">
        <v>83</v>
      </c>
      <c r="C49" s="230"/>
    </row>
    <row r="50" spans="1:3" ht="30" customHeight="1" x14ac:dyDescent="0.35">
      <c r="A50" s="237" t="s">
        <v>84</v>
      </c>
      <c r="B50" s="228" t="s">
        <v>85</v>
      </c>
      <c r="C50" s="230"/>
    </row>
    <row r="51" spans="1:3" x14ac:dyDescent="0.35">
      <c r="A51" s="229" t="s">
        <v>86</v>
      </c>
      <c r="B51" s="228" t="s">
        <v>87</v>
      </c>
      <c r="C51" s="230">
        <v>1322902.0715300001</v>
      </c>
    </row>
    <row r="52" spans="1:3" x14ac:dyDescent="0.35">
      <c r="A52" s="229" t="s">
        <v>88</v>
      </c>
      <c r="B52" s="228" t="s">
        <v>89</v>
      </c>
      <c r="C52" s="230">
        <v>378931.28775000002</v>
      </c>
    </row>
    <row r="53" spans="1:3" x14ac:dyDescent="0.35">
      <c r="A53" s="153" t="s">
        <v>90</v>
      </c>
      <c r="B53" s="238" t="s">
        <v>91</v>
      </c>
      <c r="C53" s="230">
        <v>117740288.17819001</v>
      </c>
    </row>
    <row r="54" spans="1:3" x14ac:dyDescent="0.35">
      <c r="A54" s="227" t="s">
        <v>92</v>
      </c>
      <c r="B54" s="228"/>
      <c r="C54" s="152"/>
    </row>
    <row r="55" spans="1:3" x14ac:dyDescent="0.35">
      <c r="A55" s="229" t="s">
        <v>93</v>
      </c>
      <c r="B55" s="228" t="s">
        <v>94</v>
      </c>
      <c r="C55" s="230">
        <v>50688865.569789998</v>
      </c>
    </row>
    <row r="56" spans="1:3" x14ac:dyDescent="0.35">
      <c r="A56" s="232" t="s">
        <v>95</v>
      </c>
      <c r="B56" s="228" t="s">
        <v>96</v>
      </c>
      <c r="C56" s="230">
        <v>37016143.555699997</v>
      </c>
    </row>
    <row r="57" spans="1:3" x14ac:dyDescent="0.35">
      <c r="A57" s="233" t="s">
        <v>97</v>
      </c>
      <c r="B57" s="228" t="s">
        <v>98</v>
      </c>
      <c r="C57" s="230"/>
    </row>
    <row r="58" spans="1:3" x14ac:dyDescent="0.35">
      <c r="A58" s="233" t="s">
        <v>99</v>
      </c>
      <c r="B58" s="228" t="s">
        <v>100</v>
      </c>
      <c r="C58" s="230">
        <v>35736113.098510005</v>
      </c>
    </row>
    <row r="59" spans="1:3" x14ac:dyDescent="0.35">
      <c r="A59" s="233" t="s">
        <v>101</v>
      </c>
      <c r="B59" s="228" t="s">
        <v>102</v>
      </c>
      <c r="C59" s="230">
        <v>1280030.45719</v>
      </c>
    </row>
    <row r="60" spans="1:3" x14ac:dyDescent="0.35">
      <c r="A60" s="232" t="s">
        <v>103</v>
      </c>
      <c r="B60" s="228" t="s">
        <v>104</v>
      </c>
      <c r="C60" s="230">
        <v>13672722.01409</v>
      </c>
    </row>
    <row r="61" spans="1:3" x14ac:dyDescent="0.35">
      <c r="A61" s="233" t="s">
        <v>97</v>
      </c>
      <c r="B61" s="228" t="s">
        <v>105</v>
      </c>
      <c r="C61" s="230"/>
    </row>
    <row r="62" spans="1:3" x14ac:dyDescent="0.35">
      <c r="A62" s="233" t="s">
        <v>99</v>
      </c>
      <c r="B62" s="228" t="s">
        <v>106</v>
      </c>
      <c r="C62" s="230">
        <v>13028260.7546</v>
      </c>
    </row>
    <row r="63" spans="1:3" x14ac:dyDescent="0.35">
      <c r="A63" s="233" t="s">
        <v>101</v>
      </c>
      <c r="B63" s="228" t="s">
        <v>107</v>
      </c>
      <c r="C63" s="230">
        <v>644461.25948999997</v>
      </c>
    </row>
    <row r="64" spans="1:3" x14ac:dyDescent="0.35">
      <c r="A64" s="229" t="s">
        <v>108</v>
      </c>
      <c r="B64" s="228" t="s">
        <v>109</v>
      </c>
      <c r="C64" s="230">
        <v>23417268.930259999</v>
      </c>
    </row>
    <row r="65" spans="1:3" x14ac:dyDescent="0.35">
      <c r="A65" s="232" t="s">
        <v>110</v>
      </c>
      <c r="B65" s="228" t="s">
        <v>111</v>
      </c>
      <c r="C65" s="230">
        <v>12184824.045919999</v>
      </c>
    </row>
    <row r="66" spans="1:3" x14ac:dyDescent="0.35">
      <c r="A66" s="233" t="s">
        <v>97</v>
      </c>
      <c r="B66" s="228" t="s">
        <v>112</v>
      </c>
      <c r="C66" s="230"/>
    </row>
    <row r="67" spans="1:3" x14ac:dyDescent="0.35">
      <c r="A67" s="233" t="s">
        <v>99</v>
      </c>
      <c r="B67" s="228" t="s">
        <v>113</v>
      </c>
      <c r="C67" s="230">
        <v>11892280.085280001</v>
      </c>
    </row>
    <row r="68" spans="1:3" x14ac:dyDescent="0.35">
      <c r="A68" s="233" t="s">
        <v>101</v>
      </c>
      <c r="B68" s="228" t="s">
        <v>114</v>
      </c>
      <c r="C68" s="230">
        <v>292543.96064</v>
      </c>
    </row>
    <row r="69" spans="1:3" ht="30" customHeight="1" x14ac:dyDescent="0.35">
      <c r="A69" s="236" t="s">
        <v>115</v>
      </c>
      <c r="B69" s="228" t="s">
        <v>116</v>
      </c>
      <c r="C69" s="230">
        <v>11232444.884339999</v>
      </c>
    </row>
    <row r="70" spans="1:3" x14ac:dyDescent="0.35">
      <c r="A70" s="233" t="s">
        <v>97</v>
      </c>
      <c r="B70" s="228" t="s">
        <v>117</v>
      </c>
      <c r="C70" s="230"/>
    </row>
    <row r="71" spans="1:3" x14ac:dyDescent="0.35">
      <c r="A71" s="233" t="s">
        <v>99</v>
      </c>
      <c r="B71" s="228" t="s">
        <v>118</v>
      </c>
      <c r="C71" s="230">
        <v>11021968.27091</v>
      </c>
    </row>
    <row r="72" spans="1:3" x14ac:dyDescent="0.35">
      <c r="A72" s="233" t="s">
        <v>101</v>
      </c>
      <c r="B72" s="228" t="s">
        <v>119</v>
      </c>
      <c r="C72" s="230">
        <v>210476.61343</v>
      </c>
    </row>
    <row r="73" spans="1:3" x14ac:dyDescent="0.35">
      <c r="A73" s="229" t="s">
        <v>120</v>
      </c>
      <c r="B73" s="228" t="s">
        <v>121</v>
      </c>
      <c r="C73" s="230"/>
    </row>
    <row r="74" spans="1:3" x14ac:dyDescent="0.35">
      <c r="A74" s="232" t="s">
        <v>97</v>
      </c>
      <c r="B74" s="228" t="s">
        <v>122</v>
      </c>
      <c r="C74" s="230"/>
    </row>
    <row r="75" spans="1:3" x14ac:dyDescent="0.35">
      <c r="A75" s="232" t="s">
        <v>99</v>
      </c>
      <c r="B75" s="228" t="s">
        <v>123</v>
      </c>
      <c r="C75" s="230"/>
    </row>
    <row r="76" spans="1:3" x14ac:dyDescent="0.35">
      <c r="A76" s="232" t="s">
        <v>101</v>
      </c>
      <c r="B76" s="228" t="s">
        <v>124</v>
      </c>
      <c r="C76" s="230"/>
    </row>
    <row r="77" spans="1:3" x14ac:dyDescent="0.35">
      <c r="A77" s="229" t="s">
        <v>125</v>
      </c>
      <c r="B77" s="228" t="s">
        <v>126</v>
      </c>
      <c r="C77" s="152"/>
    </row>
    <row r="78" spans="1:3" x14ac:dyDescent="0.35">
      <c r="A78" s="229" t="s">
        <v>127</v>
      </c>
      <c r="B78" s="228" t="s">
        <v>128</v>
      </c>
      <c r="C78" s="230"/>
    </row>
    <row r="79" spans="1:3" x14ac:dyDescent="0.35">
      <c r="A79" s="229" t="s">
        <v>129</v>
      </c>
      <c r="B79" s="228" t="s">
        <v>130</v>
      </c>
      <c r="C79" s="230">
        <v>196192.17956999998</v>
      </c>
    </row>
    <row r="80" spans="1:3" x14ac:dyDescent="0.35">
      <c r="A80" s="229" t="s">
        <v>131</v>
      </c>
      <c r="B80" s="228" t="s">
        <v>132</v>
      </c>
      <c r="C80" s="230">
        <v>1037388.42319</v>
      </c>
    </row>
    <row r="81" spans="1:3" s="70" customFormat="1" x14ac:dyDescent="0.35">
      <c r="A81" s="229" t="s">
        <v>133</v>
      </c>
      <c r="B81" s="228" t="s">
        <v>134</v>
      </c>
      <c r="C81" s="230"/>
    </row>
    <row r="82" spans="1:3" x14ac:dyDescent="0.35">
      <c r="A82" s="229" t="s">
        <v>135</v>
      </c>
      <c r="B82" s="228" t="s">
        <v>136</v>
      </c>
      <c r="C82" s="230">
        <v>1452869.85947</v>
      </c>
    </row>
    <row r="83" spans="1:3" x14ac:dyDescent="0.35">
      <c r="A83" s="229" t="s">
        <v>42</v>
      </c>
      <c r="B83" s="228" t="s">
        <v>137</v>
      </c>
      <c r="C83" s="230">
        <v>259914.91899000001</v>
      </c>
    </row>
    <row r="84" spans="1:3" x14ac:dyDescent="0.35">
      <c r="A84" s="229" t="s">
        <v>138</v>
      </c>
      <c r="B84" s="228" t="s">
        <v>139</v>
      </c>
      <c r="C84" s="239"/>
    </row>
    <row r="85" spans="1:3" x14ac:dyDescent="0.35">
      <c r="A85" s="237" t="s">
        <v>140</v>
      </c>
      <c r="B85" s="228" t="s">
        <v>141</v>
      </c>
      <c r="C85" s="230">
        <v>1256127.4657999999</v>
      </c>
    </row>
    <row r="86" spans="1:3" x14ac:dyDescent="0.35">
      <c r="A86" s="229" t="s">
        <v>142</v>
      </c>
      <c r="B86" s="228" t="s">
        <v>143</v>
      </c>
      <c r="C86" s="230">
        <v>1744624.5181400001</v>
      </c>
    </row>
    <row r="87" spans="1:3" x14ac:dyDescent="0.35">
      <c r="A87" s="229" t="s">
        <v>144</v>
      </c>
      <c r="B87" s="228" t="s">
        <v>145</v>
      </c>
      <c r="C87" s="230">
        <v>196290.97308000003</v>
      </c>
    </row>
    <row r="88" spans="1:3" x14ac:dyDescent="0.35">
      <c r="A88" s="229" t="s">
        <v>146</v>
      </c>
      <c r="B88" s="228" t="s">
        <v>147</v>
      </c>
      <c r="C88" s="230">
        <v>3515026.9448800003</v>
      </c>
    </row>
    <row r="89" spans="1:3" s="76" customFormat="1" x14ac:dyDescent="0.35">
      <c r="A89" s="229" t="s">
        <v>148</v>
      </c>
      <c r="B89" s="228" t="s">
        <v>149</v>
      </c>
      <c r="C89" s="230">
        <v>1204735.3549000002</v>
      </c>
    </row>
    <row r="90" spans="1:3" x14ac:dyDescent="0.35">
      <c r="A90" s="232" t="s">
        <v>150</v>
      </c>
      <c r="B90" s="228" t="s">
        <v>151</v>
      </c>
      <c r="C90" s="230"/>
    </row>
    <row r="91" spans="1:3" x14ac:dyDescent="0.35">
      <c r="A91" s="232" t="s">
        <v>152</v>
      </c>
      <c r="B91" s="228" t="s">
        <v>153</v>
      </c>
      <c r="C91" s="230">
        <v>1204735.3549000002</v>
      </c>
    </row>
    <row r="92" spans="1:3" x14ac:dyDescent="0.35">
      <c r="A92" s="229" t="s">
        <v>154</v>
      </c>
      <c r="B92" s="228" t="s">
        <v>155</v>
      </c>
      <c r="C92" s="230">
        <v>1717535.36791</v>
      </c>
    </row>
    <row r="93" spans="1:3" x14ac:dyDescent="0.35">
      <c r="A93" s="153" t="s">
        <v>156</v>
      </c>
      <c r="B93" s="238" t="s">
        <v>157</v>
      </c>
      <c r="C93" s="230">
        <v>86686840.50598</v>
      </c>
    </row>
    <row r="94" spans="1:3" x14ac:dyDescent="0.35">
      <c r="A94" s="240" t="s">
        <v>158</v>
      </c>
      <c r="B94" s="238" t="s">
        <v>159</v>
      </c>
      <c r="C94" s="230">
        <v>31053447.67221</v>
      </c>
    </row>
    <row r="95" spans="1:3" x14ac:dyDescent="0.35">
      <c r="A95" s="70"/>
      <c r="B95" s="70"/>
      <c r="C95" s="70"/>
    </row>
    <row r="96" spans="1:3" x14ac:dyDescent="0.35">
      <c r="A96" s="78"/>
      <c r="B96" s="78"/>
      <c r="C96" s="78"/>
    </row>
    <row r="100" spans="2:2" x14ac:dyDescent="0.35">
      <c r="B100" s="76"/>
    </row>
  </sheetData>
  <pageMargins left="0.75" right="0.75" top="0.72" bottom="0.71" header="0.5" footer="0.5"/>
  <pageSetup paperSize="9" scale="50" orientation="portrait" cellComments="asDisplayed" r:id="rId1"/>
  <headerFooter alignWithMargins="0">
    <oddHeader>&amp;A</oddHeader>
    <oddFooter>&amp;L&amp;F&amp;CPage &amp;P&amp;R&amp;D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6CE62A-3BE3-456F-B5B4-4F215130FE57}">
  <dimension ref="A1:AP81"/>
  <sheetViews>
    <sheetView showGridLines="0" topLeftCell="F47" zoomScale="60" zoomScaleNormal="60" workbookViewId="0">
      <selection activeCell="K72" sqref="K51:K72"/>
    </sheetView>
  </sheetViews>
  <sheetFormatPr defaultColWidth="11.453125" defaultRowHeight="14.5" x14ac:dyDescent="0.35"/>
  <cols>
    <col min="1" max="1" width="47.453125" style="80" customWidth="1"/>
    <col min="2" max="2" width="6.453125" style="80" bestFit="1" customWidth="1"/>
    <col min="3" max="19" width="27.453125" style="80" customWidth="1"/>
    <col min="20" max="20" width="39.81640625" style="80" bestFit="1" customWidth="1"/>
    <col min="21" max="21" width="28.1796875" style="80" bestFit="1" customWidth="1"/>
    <col min="22" max="22" width="16.453125" style="80" bestFit="1" customWidth="1"/>
    <col min="23" max="23" width="20.453125" style="80" bestFit="1" customWidth="1"/>
    <col min="24" max="24" width="96" style="80" bestFit="1" customWidth="1"/>
    <col min="25" max="25" width="37.54296875" style="80" bestFit="1" customWidth="1"/>
    <col min="26" max="26" width="13.453125" style="80" bestFit="1" customWidth="1"/>
    <col min="27" max="27" width="10.453125" style="80" customWidth="1"/>
    <col min="28" max="28" width="15.81640625" style="80" customWidth="1"/>
    <col min="29" max="29" width="17.1796875" style="80" customWidth="1"/>
    <col min="30" max="16384" width="11.453125" style="80"/>
  </cols>
  <sheetData>
    <row r="1" spans="1:39" x14ac:dyDescent="0.35">
      <c r="A1" s="63" t="s">
        <v>160</v>
      </c>
      <c r="B1" s="79"/>
    </row>
    <row r="2" spans="1:39" x14ac:dyDescent="0.35">
      <c r="A2" s="65" t="s">
        <v>161</v>
      </c>
    </row>
    <row r="3" spans="1:39" x14ac:dyDescent="0.35">
      <c r="A3" s="65"/>
    </row>
    <row r="4" spans="1:39" x14ac:dyDescent="0.35">
      <c r="A4" s="63" t="s">
        <v>162</v>
      </c>
    </row>
    <row r="9" spans="1:39" x14ac:dyDescent="0.35">
      <c r="A9" s="65" t="s">
        <v>163</v>
      </c>
    </row>
    <row r="10" spans="1:39" x14ac:dyDescent="0.35">
      <c r="A10" s="81"/>
    </row>
    <row r="11" spans="1:39" x14ac:dyDescent="0.35">
      <c r="C11" s="278" t="s">
        <v>164</v>
      </c>
      <c r="D11" s="279"/>
      <c r="E11" s="279"/>
      <c r="F11" s="279"/>
      <c r="G11" s="279"/>
      <c r="H11" s="279"/>
      <c r="I11" s="279"/>
      <c r="J11" s="279"/>
      <c r="K11" s="279"/>
      <c r="L11" s="279"/>
      <c r="M11" s="279"/>
      <c r="N11" s="280"/>
      <c r="O11" s="278" t="s">
        <v>165</v>
      </c>
      <c r="P11" s="279"/>
      <c r="Q11" s="279"/>
      <c r="R11" s="280"/>
      <c r="S11" s="281" t="s">
        <v>166</v>
      </c>
      <c r="T11" s="82"/>
    </row>
    <row r="12" spans="1:39" ht="29" x14ac:dyDescent="0.35">
      <c r="C12" s="165" t="s">
        <v>167</v>
      </c>
      <c r="D12" s="165" t="s">
        <v>168</v>
      </c>
      <c r="E12" s="165" t="s">
        <v>169</v>
      </c>
      <c r="F12" s="165" t="s">
        <v>170</v>
      </c>
      <c r="G12" s="165" t="s">
        <v>171</v>
      </c>
      <c r="H12" s="165" t="s">
        <v>172</v>
      </c>
      <c r="I12" s="165" t="s">
        <v>173</v>
      </c>
      <c r="J12" s="165" t="s">
        <v>174</v>
      </c>
      <c r="K12" s="165" t="s">
        <v>175</v>
      </c>
      <c r="L12" s="165" t="s">
        <v>176</v>
      </c>
      <c r="M12" s="165" t="s">
        <v>177</v>
      </c>
      <c r="N12" s="165" t="s">
        <v>178</v>
      </c>
      <c r="O12" s="165" t="s">
        <v>179</v>
      </c>
      <c r="P12" s="165" t="s">
        <v>180</v>
      </c>
      <c r="Q12" s="165" t="s">
        <v>181</v>
      </c>
      <c r="R12" s="165" t="s">
        <v>182</v>
      </c>
      <c r="S12" s="282"/>
      <c r="T12" s="82"/>
    </row>
    <row r="13" spans="1:39" x14ac:dyDescent="0.35">
      <c r="C13" s="165" t="s">
        <v>4</v>
      </c>
      <c r="D13" s="165" t="s">
        <v>183</v>
      </c>
      <c r="E13" s="165" t="s">
        <v>184</v>
      </c>
      <c r="F13" s="165" t="s">
        <v>185</v>
      </c>
      <c r="G13" s="165" t="s">
        <v>186</v>
      </c>
      <c r="H13" s="165" t="s">
        <v>187</v>
      </c>
      <c r="I13" s="165" t="s">
        <v>188</v>
      </c>
      <c r="J13" s="165" t="s">
        <v>189</v>
      </c>
      <c r="K13" s="165" t="s">
        <v>190</v>
      </c>
      <c r="L13" s="165" t="s">
        <v>191</v>
      </c>
      <c r="M13" s="165" t="s">
        <v>192</v>
      </c>
      <c r="N13" s="165" t="s">
        <v>193</v>
      </c>
      <c r="O13" s="165" t="s">
        <v>194</v>
      </c>
      <c r="P13" s="165" t="s">
        <v>195</v>
      </c>
      <c r="Q13" s="165" t="s">
        <v>196</v>
      </c>
      <c r="R13" s="165" t="s">
        <v>197</v>
      </c>
      <c r="S13" s="83" t="s">
        <v>198</v>
      </c>
    </row>
    <row r="14" spans="1:39" x14ac:dyDescent="0.35">
      <c r="A14" s="241" t="s">
        <v>199</v>
      </c>
      <c r="B14" s="165"/>
      <c r="C14" s="152"/>
      <c r="D14" s="152"/>
      <c r="E14" s="152"/>
      <c r="F14" s="152"/>
      <c r="G14" s="152"/>
      <c r="H14" s="152"/>
      <c r="I14" s="152"/>
      <c r="J14" s="152"/>
      <c r="K14" s="152"/>
      <c r="L14" s="152"/>
      <c r="M14" s="152"/>
      <c r="N14" s="152"/>
      <c r="O14" s="152"/>
      <c r="P14" s="152"/>
      <c r="Q14" s="152"/>
      <c r="R14" s="152"/>
      <c r="S14" s="152"/>
    </row>
    <row r="15" spans="1:39" x14ac:dyDescent="0.35">
      <c r="A15" s="237" t="s">
        <v>200</v>
      </c>
      <c r="B15" s="165" t="s">
        <v>27</v>
      </c>
      <c r="C15" s="230">
        <v>2759500.8400999997</v>
      </c>
      <c r="D15" s="230">
        <v>3489419.4043999999</v>
      </c>
      <c r="E15" s="230">
        <v>1980459.6037899998</v>
      </c>
      <c r="F15" s="230">
        <v>5356367.8579799999</v>
      </c>
      <c r="G15" s="230">
        <v>14074575.60534</v>
      </c>
      <c r="H15" s="230">
        <v>1095967.8882200001</v>
      </c>
      <c r="I15" s="230">
        <v>14647685.61678</v>
      </c>
      <c r="J15" s="230">
        <v>2654888.38448</v>
      </c>
      <c r="K15" s="230"/>
      <c r="L15" s="230"/>
      <c r="M15" s="230"/>
      <c r="N15" s="230"/>
      <c r="O15" s="152"/>
      <c r="P15" s="152"/>
      <c r="Q15" s="152"/>
      <c r="R15" s="152"/>
      <c r="S15" s="230">
        <v>46058865.201089993</v>
      </c>
      <c r="V15" s="85"/>
      <c r="W15" s="85"/>
      <c r="X15" s="85"/>
      <c r="Y15" s="85"/>
      <c r="Z15" s="85"/>
      <c r="AA15" s="85"/>
      <c r="AB15" s="85"/>
      <c r="AC15" s="85"/>
      <c r="AL15" s="85"/>
      <c r="AM15" s="85"/>
    </row>
    <row r="16" spans="1:39" x14ac:dyDescent="0.35">
      <c r="A16" s="237" t="s">
        <v>201</v>
      </c>
      <c r="B16" s="165" t="s">
        <v>29</v>
      </c>
      <c r="C16" s="230"/>
      <c r="D16" s="230"/>
      <c r="E16" s="230"/>
      <c r="F16" s="230"/>
      <c r="G16" s="230"/>
      <c r="H16" s="230">
        <v>119369.67086</v>
      </c>
      <c r="I16" s="230">
        <v>883245.48014</v>
      </c>
      <c r="J16" s="230">
        <v>404569.08912000002</v>
      </c>
      <c r="K16" s="230"/>
      <c r="L16" s="230"/>
      <c r="M16" s="230"/>
      <c r="N16" s="230"/>
      <c r="O16" s="152"/>
      <c r="P16" s="152"/>
      <c r="Q16" s="152"/>
      <c r="R16" s="152"/>
      <c r="S16" s="230">
        <v>1407184.24012</v>
      </c>
      <c r="V16" s="85"/>
      <c r="W16" s="85"/>
      <c r="X16" s="85"/>
      <c r="Y16" s="85"/>
      <c r="Z16" s="85"/>
      <c r="AA16" s="85"/>
      <c r="AB16" s="85"/>
      <c r="AC16" s="85"/>
      <c r="AL16" s="85"/>
      <c r="AM16" s="85"/>
    </row>
    <row r="17" spans="1:39" x14ac:dyDescent="0.35">
      <c r="A17" s="237" t="s">
        <v>202</v>
      </c>
      <c r="B17" s="165" t="s">
        <v>31</v>
      </c>
      <c r="C17" s="152"/>
      <c r="D17" s="152"/>
      <c r="E17" s="152"/>
      <c r="F17" s="152"/>
      <c r="G17" s="152"/>
      <c r="H17" s="152"/>
      <c r="I17" s="152"/>
      <c r="J17" s="152"/>
      <c r="K17" s="152"/>
      <c r="L17" s="152"/>
      <c r="M17" s="152"/>
      <c r="N17" s="152"/>
      <c r="O17" s="230"/>
      <c r="P17" s="230"/>
      <c r="Q17" s="230"/>
      <c r="R17" s="230"/>
      <c r="S17" s="230"/>
      <c r="V17" s="85"/>
      <c r="W17" s="85"/>
      <c r="X17" s="85"/>
      <c r="Y17" s="85"/>
      <c r="Z17" s="85"/>
      <c r="AA17" s="85"/>
      <c r="AB17" s="85"/>
      <c r="AC17" s="85"/>
      <c r="AL17" s="85"/>
      <c r="AM17" s="85"/>
    </row>
    <row r="18" spans="1:39" x14ac:dyDescent="0.35">
      <c r="A18" s="237" t="s">
        <v>203</v>
      </c>
      <c r="B18" s="165" t="s">
        <v>33</v>
      </c>
      <c r="C18" s="230">
        <v>18635.31712</v>
      </c>
      <c r="D18" s="230">
        <v>9444.9012400000011</v>
      </c>
      <c r="E18" s="230">
        <v>27489.93362</v>
      </c>
      <c r="F18" s="230">
        <v>6699.5528099999992</v>
      </c>
      <c r="G18" s="230">
        <v>39316.595280000001</v>
      </c>
      <c r="H18" s="230">
        <v>226613.43699000002</v>
      </c>
      <c r="I18" s="230">
        <v>1336725.7253099999</v>
      </c>
      <c r="J18" s="230">
        <v>426116.92845999997</v>
      </c>
      <c r="K18" s="230"/>
      <c r="L18" s="230"/>
      <c r="M18" s="230"/>
      <c r="N18" s="230"/>
      <c r="O18" s="230"/>
      <c r="P18" s="230"/>
      <c r="Q18" s="230"/>
      <c r="R18" s="230"/>
      <c r="S18" s="230">
        <v>2091042.3908299999</v>
      </c>
      <c r="V18" s="85"/>
      <c r="W18" s="85"/>
      <c r="X18" s="85"/>
      <c r="Y18" s="85"/>
      <c r="Z18" s="85"/>
      <c r="AA18" s="85"/>
      <c r="AB18" s="85"/>
      <c r="AC18" s="85"/>
      <c r="AL18" s="85"/>
      <c r="AM18" s="85"/>
    </row>
    <row r="19" spans="1:39" x14ac:dyDescent="0.35">
      <c r="A19" s="237" t="s">
        <v>204</v>
      </c>
      <c r="B19" s="165" t="s">
        <v>45</v>
      </c>
      <c r="C19" s="230">
        <v>2740865.5229799999</v>
      </c>
      <c r="D19" s="230">
        <v>3479974.5031599998</v>
      </c>
      <c r="E19" s="230">
        <v>1952969.6701700001</v>
      </c>
      <c r="F19" s="230">
        <v>5349668.3051700005</v>
      </c>
      <c r="G19" s="230">
        <v>14035259.010059999</v>
      </c>
      <c r="H19" s="230">
        <v>988724.12209000008</v>
      </c>
      <c r="I19" s="230">
        <v>14194205.371610001</v>
      </c>
      <c r="J19" s="230">
        <v>2633340.5451400001</v>
      </c>
      <c r="K19" s="230"/>
      <c r="L19" s="230"/>
      <c r="M19" s="230"/>
      <c r="N19" s="230"/>
      <c r="O19" s="230"/>
      <c r="P19" s="230"/>
      <c r="Q19" s="230"/>
      <c r="R19" s="230"/>
      <c r="S19" s="230">
        <v>45375007.050379999</v>
      </c>
      <c r="V19" s="85"/>
      <c r="W19" s="85"/>
      <c r="X19" s="85"/>
      <c r="Y19" s="85"/>
      <c r="Z19" s="85"/>
      <c r="AA19" s="85"/>
      <c r="AB19" s="85"/>
      <c r="AC19" s="85"/>
      <c r="AL19" s="85"/>
      <c r="AM19" s="85"/>
    </row>
    <row r="20" spans="1:39" x14ac:dyDescent="0.35">
      <c r="A20" s="241" t="s">
        <v>205</v>
      </c>
      <c r="B20" s="165"/>
      <c r="C20" s="152"/>
      <c r="D20" s="152"/>
      <c r="E20" s="152"/>
      <c r="F20" s="152"/>
      <c r="G20" s="152"/>
      <c r="H20" s="152"/>
      <c r="I20" s="152"/>
      <c r="J20" s="152"/>
      <c r="K20" s="152"/>
      <c r="L20" s="152"/>
      <c r="M20" s="152"/>
      <c r="N20" s="152"/>
      <c r="O20" s="152"/>
      <c r="P20" s="152"/>
      <c r="Q20" s="152"/>
      <c r="R20" s="152"/>
      <c r="S20" s="152"/>
      <c r="V20" s="85"/>
      <c r="W20" s="85"/>
      <c r="X20" s="85"/>
      <c r="Y20" s="85"/>
      <c r="Z20" s="85"/>
      <c r="AA20" s="85"/>
      <c r="AB20" s="85"/>
      <c r="AC20" s="85"/>
      <c r="AL20" s="85"/>
      <c r="AM20" s="85"/>
    </row>
    <row r="21" spans="1:39" x14ac:dyDescent="0.35">
      <c r="A21" s="237" t="s">
        <v>200</v>
      </c>
      <c r="B21" s="165" t="s">
        <v>47</v>
      </c>
      <c r="C21" s="230">
        <v>2701424.2028399999</v>
      </c>
      <c r="D21" s="230">
        <v>3377441.5481199999</v>
      </c>
      <c r="E21" s="230">
        <v>2018874.0286099999</v>
      </c>
      <c r="F21" s="230">
        <v>5394033.1177099999</v>
      </c>
      <c r="G21" s="230">
        <v>13759498.35486</v>
      </c>
      <c r="H21" s="230">
        <v>1089037.88372</v>
      </c>
      <c r="I21" s="230">
        <v>14281603.636399999</v>
      </c>
      <c r="J21" s="230">
        <v>2548667.1678200001</v>
      </c>
      <c r="K21" s="230"/>
      <c r="L21" s="230"/>
      <c r="M21" s="230"/>
      <c r="N21" s="230"/>
      <c r="O21" s="152"/>
      <c r="P21" s="152"/>
      <c r="Q21" s="152"/>
      <c r="R21" s="152"/>
      <c r="S21" s="230">
        <v>45170579.940080002</v>
      </c>
      <c r="V21" s="85"/>
      <c r="W21" s="85"/>
      <c r="X21" s="85"/>
      <c r="Y21" s="85"/>
      <c r="Z21" s="85"/>
      <c r="AA21" s="85"/>
      <c r="AB21" s="85"/>
      <c r="AC21" s="85"/>
      <c r="AL21" s="85"/>
      <c r="AM21" s="85"/>
    </row>
    <row r="22" spans="1:39" x14ac:dyDescent="0.35">
      <c r="A22" s="237" t="s">
        <v>201</v>
      </c>
      <c r="B22" s="165" t="s">
        <v>49</v>
      </c>
      <c r="C22" s="230"/>
      <c r="D22" s="230"/>
      <c r="E22" s="230"/>
      <c r="F22" s="230"/>
      <c r="G22" s="230"/>
      <c r="H22" s="230">
        <v>125386.81742000001</v>
      </c>
      <c r="I22" s="230">
        <v>825092.45503999991</v>
      </c>
      <c r="J22" s="230">
        <v>389017.22664000001</v>
      </c>
      <c r="K22" s="230"/>
      <c r="L22" s="230"/>
      <c r="M22" s="230"/>
      <c r="N22" s="230"/>
      <c r="O22" s="152"/>
      <c r="P22" s="152"/>
      <c r="Q22" s="152"/>
      <c r="R22" s="152"/>
      <c r="S22" s="230">
        <v>1339496.4990999999</v>
      </c>
      <c r="V22" s="85"/>
      <c r="W22" s="85"/>
      <c r="X22" s="85"/>
      <c r="Y22" s="85"/>
      <c r="Z22" s="85"/>
      <c r="AA22" s="85"/>
      <c r="AB22" s="85"/>
      <c r="AC22" s="85"/>
      <c r="AL22" s="85"/>
      <c r="AM22" s="85"/>
    </row>
    <row r="23" spans="1:39" x14ac:dyDescent="0.35">
      <c r="A23" s="237" t="s">
        <v>202</v>
      </c>
      <c r="B23" s="165" t="s">
        <v>51</v>
      </c>
      <c r="C23" s="152"/>
      <c r="D23" s="152"/>
      <c r="E23" s="152"/>
      <c r="F23" s="152"/>
      <c r="G23" s="152"/>
      <c r="H23" s="152"/>
      <c r="I23" s="152"/>
      <c r="J23" s="152"/>
      <c r="K23" s="152"/>
      <c r="L23" s="152"/>
      <c r="M23" s="152"/>
      <c r="N23" s="152"/>
      <c r="O23" s="230"/>
      <c r="P23" s="230"/>
      <c r="Q23" s="230"/>
      <c r="R23" s="230"/>
      <c r="S23" s="230"/>
      <c r="V23" s="85"/>
      <c r="W23" s="85"/>
      <c r="X23" s="85"/>
      <c r="Y23" s="85"/>
      <c r="Z23" s="85"/>
      <c r="AA23" s="85"/>
      <c r="AB23" s="85"/>
      <c r="AC23" s="85"/>
      <c r="AL23" s="85"/>
      <c r="AM23" s="85"/>
    </row>
    <row r="24" spans="1:39" x14ac:dyDescent="0.35">
      <c r="A24" s="237" t="s">
        <v>203</v>
      </c>
      <c r="B24" s="165" t="s">
        <v>53</v>
      </c>
      <c r="C24" s="230">
        <v>14669.791880000001</v>
      </c>
      <c r="D24" s="230">
        <v>12308.035699999999</v>
      </c>
      <c r="E24" s="230">
        <v>28347.622640000001</v>
      </c>
      <c r="F24" s="230">
        <v>6699.55249</v>
      </c>
      <c r="G24" s="230">
        <v>36583.523649999996</v>
      </c>
      <c r="H24" s="230">
        <v>223224.80416</v>
      </c>
      <c r="I24" s="230">
        <v>1291260.98884</v>
      </c>
      <c r="J24" s="230">
        <v>407066.33164999995</v>
      </c>
      <c r="K24" s="230"/>
      <c r="L24" s="230"/>
      <c r="M24" s="230"/>
      <c r="N24" s="230"/>
      <c r="O24" s="230"/>
      <c r="P24" s="230"/>
      <c r="Q24" s="230"/>
      <c r="R24" s="230"/>
      <c r="S24" s="230">
        <v>2020160.6510099999</v>
      </c>
      <c r="V24" s="85"/>
      <c r="W24" s="85"/>
      <c r="X24" s="85"/>
      <c r="Y24" s="85"/>
      <c r="Z24" s="85"/>
      <c r="AA24" s="85"/>
      <c r="AB24" s="85"/>
      <c r="AC24" s="85"/>
      <c r="AL24" s="85"/>
      <c r="AM24" s="85"/>
    </row>
    <row r="25" spans="1:39" x14ac:dyDescent="0.35">
      <c r="A25" s="237" t="s">
        <v>204</v>
      </c>
      <c r="B25" s="165" t="s">
        <v>65</v>
      </c>
      <c r="C25" s="230">
        <v>2686754.41096</v>
      </c>
      <c r="D25" s="230">
        <v>3365133.51242</v>
      </c>
      <c r="E25" s="230">
        <v>1990526.40597</v>
      </c>
      <c r="F25" s="230">
        <v>5387333.5652200002</v>
      </c>
      <c r="G25" s="230">
        <v>13722914.831209999</v>
      </c>
      <c r="H25" s="230">
        <v>991199.89697999996</v>
      </c>
      <c r="I25" s="230">
        <v>13815435.102600001</v>
      </c>
      <c r="J25" s="230">
        <v>2530618.06281</v>
      </c>
      <c r="K25" s="230"/>
      <c r="L25" s="230"/>
      <c r="M25" s="230"/>
      <c r="N25" s="230"/>
      <c r="O25" s="230"/>
      <c r="P25" s="230"/>
      <c r="Q25" s="230"/>
      <c r="R25" s="230"/>
      <c r="S25" s="230">
        <v>44489915.788169995</v>
      </c>
      <c r="V25" s="85"/>
      <c r="W25" s="85"/>
      <c r="X25" s="85"/>
      <c r="Y25" s="85"/>
      <c r="Z25" s="85"/>
      <c r="AA25" s="85"/>
      <c r="AB25" s="85"/>
      <c r="AC25" s="85"/>
      <c r="AL25" s="85"/>
      <c r="AM25" s="85"/>
    </row>
    <row r="26" spans="1:39" x14ac:dyDescent="0.35">
      <c r="A26" s="241" t="s">
        <v>206</v>
      </c>
      <c r="B26" s="165"/>
      <c r="C26" s="152"/>
      <c r="D26" s="152"/>
      <c r="E26" s="152"/>
      <c r="F26" s="152"/>
      <c r="G26" s="152"/>
      <c r="H26" s="152"/>
      <c r="I26" s="152"/>
      <c r="J26" s="152"/>
      <c r="K26" s="152"/>
      <c r="L26" s="152"/>
      <c r="M26" s="152"/>
      <c r="N26" s="152"/>
      <c r="O26" s="152"/>
      <c r="P26" s="152"/>
      <c r="Q26" s="152"/>
      <c r="R26" s="152"/>
      <c r="S26" s="152"/>
      <c r="V26" s="85"/>
      <c r="W26" s="85"/>
      <c r="X26" s="85"/>
      <c r="Y26" s="85"/>
      <c r="Z26" s="85"/>
      <c r="AA26" s="85"/>
      <c r="AB26" s="85"/>
      <c r="AC26" s="85"/>
      <c r="AL26" s="85"/>
      <c r="AM26" s="85"/>
    </row>
    <row r="27" spans="1:39" x14ac:dyDescent="0.35">
      <c r="A27" s="237" t="s">
        <v>200</v>
      </c>
      <c r="B27" s="165" t="s">
        <v>67</v>
      </c>
      <c r="C27" s="230">
        <v>1887021.4079700001</v>
      </c>
      <c r="D27" s="230">
        <v>2037306.90992</v>
      </c>
      <c r="E27" s="230">
        <v>654076.53286000004</v>
      </c>
      <c r="F27" s="230">
        <v>1233669.8838699998</v>
      </c>
      <c r="G27" s="230">
        <v>9990418.24309</v>
      </c>
      <c r="H27" s="230">
        <v>825517.00907999999</v>
      </c>
      <c r="I27" s="230">
        <v>9277275.5699899998</v>
      </c>
      <c r="J27" s="230">
        <v>1047591.17275</v>
      </c>
      <c r="K27" s="230"/>
      <c r="L27" s="230"/>
      <c r="M27" s="230"/>
      <c r="N27" s="230"/>
      <c r="O27" s="152"/>
      <c r="P27" s="152"/>
      <c r="Q27" s="152"/>
      <c r="R27" s="152"/>
      <c r="S27" s="230">
        <v>26952876.729529999</v>
      </c>
      <c r="V27" s="85"/>
      <c r="W27" s="85"/>
      <c r="X27" s="85"/>
      <c r="Y27" s="85"/>
      <c r="Z27" s="85"/>
      <c r="AA27" s="85"/>
      <c r="AB27" s="85"/>
      <c r="AC27" s="85"/>
      <c r="AL27" s="85"/>
      <c r="AM27" s="85"/>
    </row>
    <row r="28" spans="1:39" x14ac:dyDescent="0.35">
      <c r="A28" s="237" t="s">
        <v>201</v>
      </c>
      <c r="B28" s="165" t="s">
        <v>69</v>
      </c>
      <c r="C28" s="230"/>
      <c r="D28" s="230"/>
      <c r="E28" s="230"/>
      <c r="F28" s="230"/>
      <c r="G28" s="230"/>
      <c r="H28" s="230">
        <v>177814.41980999999</v>
      </c>
      <c r="I28" s="230">
        <v>211704.37702000001</v>
      </c>
      <c r="J28" s="230">
        <v>700124.40162000002</v>
      </c>
      <c r="K28" s="230"/>
      <c r="L28" s="230"/>
      <c r="M28" s="230"/>
      <c r="N28" s="230"/>
      <c r="O28" s="152"/>
      <c r="P28" s="152"/>
      <c r="Q28" s="152"/>
      <c r="R28" s="152"/>
      <c r="S28" s="230">
        <v>1089643.19845</v>
      </c>
      <c r="V28" s="85"/>
      <c r="W28" s="85"/>
      <c r="X28" s="85"/>
      <c r="Y28" s="85"/>
      <c r="Z28" s="85"/>
      <c r="AA28" s="85"/>
      <c r="AB28" s="85"/>
      <c r="AC28" s="85"/>
      <c r="AL28" s="85"/>
      <c r="AM28" s="85"/>
    </row>
    <row r="29" spans="1:39" x14ac:dyDescent="0.35">
      <c r="A29" s="237" t="s">
        <v>202</v>
      </c>
      <c r="B29" s="165" t="s">
        <v>71</v>
      </c>
      <c r="C29" s="152"/>
      <c r="D29" s="152"/>
      <c r="E29" s="152"/>
      <c r="F29" s="152"/>
      <c r="G29" s="152"/>
      <c r="H29" s="152"/>
      <c r="I29" s="152"/>
      <c r="J29" s="152"/>
      <c r="K29" s="152"/>
      <c r="L29" s="152"/>
      <c r="M29" s="152"/>
      <c r="N29" s="152"/>
      <c r="O29" s="230"/>
      <c r="P29" s="230"/>
      <c r="Q29" s="230"/>
      <c r="R29" s="230"/>
      <c r="S29" s="230"/>
      <c r="V29" s="85"/>
      <c r="W29" s="85"/>
      <c r="X29" s="85"/>
      <c r="Y29" s="85"/>
      <c r="Z29" s="85"/>
      <c r="AA29" s="85"/>
      <c r="AB29" s="85"/>
      <c r="AC29" s="85"/>
      <c r="AL29" s="85"/>
      <c r="AM29" s="85"/>
    </row>
    <row r="30" spans="1:39" x14ac:dyDescent="0.35">
      <c r="A30" s="237" t="s">
        <v>203</v>
      </c>
      <c r="B30" s="165" t="s">
        <v>73</v>
      </c>
      <c r="C30" s="230">
        <v>4610.2210999999998</v>
      </c>
      <c r="D30" s="230">
        <v>8220.0185299999994</v>
      </c>
      <c r="E30" s="230">
        <v>79450.161319999999</v>
      </c>
      <c r="F30" s="230">
        <v>1103.5071599999999</v>
      </c>
      <c r="G30" s="230">
        <v>21870.229149999999</v>
      </c>
      <c r="H30" s="230">
        <v>186415.95037999999</v>
      </c>
      <c r="I30" s="230">
        <v>318935.31810999999</v>
      </c>
      <c r="J30" s="230">
        <v>342472.77201999997</v>
      </c>
      <c r="K30" s="230"/>
      <c r="L30" s="230"/>
      <c r="M30" s="230"/>
      <c r="N30" s="230"/>
      <c r="O30" s="230"/>
      <c r="P30" s="230"/>
      <c r="Q30" s="230"/>
      <c r="R30" s="230"/>
      <c r="S30" s="230">
        <v>963078.17776999995</v>
      </c>
      <c r="V30" s="85"/>
      <c r="W30" s="85"/>
      <c r="X30" s="85"/>
      <c r="Y30" s="85"/>
      <c r="Z30" s="85"/>
      <c r="AA30" s="85"/>
      <c r="AB30" s="85"/>
      <c r="AC30" s="85"/>
      <c r="AL30" s="85"/>
      <c r="AM30" s="85"/>
    </row>
    <row r="31" spans="1:39" x14ac:dyDescent="0.35">
      <c r="A31" s="237" t="s">
        <v>204</v>
      </c>
      <c r="B31" s="165" t="s">
        <v>85</v>
      </c>
      <c r="C31" s="230">
        <v>1882411.1868699999</v>
      </c>
      <c r="D31" s="230">
        <v>2029086.89139</v>
      </c>
      <c r="E31" s="230">
        <v>574626.37153999996</v>
      </c>
      <c r="F31" s="230">
        <v>1232566.37671</v>
      </c>
      <c r="G31" s="230">
        <v>9968548.0139400009</v>
      </c>
      <c r="H31" s="230">
        <v>816915.47851000004</v>
      </c>
      <c r="I31" s="230">
        <v>9170044.628899999</v>
      </c>
      <c r="J31" s="230">
        <v>1405242.80235</v>
      </c>
      <c r="K31" s="230"/>
      <c r="L31" s="230"/>
      <c r="M31" s="230"/>
      <c r="N31" s="230"/>
      <c r="O31" s="230"/>
      <c r="P31" s="230"/>
      <c r="Q31" s="230"/>
      <c r="R31" s="230"/>
      <c r="S31" s="230">
        <v>27079441.750209998</v>
      </c>
      <c r="V31" s="85"/>
      <c r="W31" s="85"/>
      <c r="X31" s="85"/>
      <c r="Y31" s="85"/>
      <c r="Z31" s="85"/>
      <c r="AA31" s="85"/>
      <c r="AB31" s="85"/>
      <c r="AC31" s="85"/>
      <c r="AL31" s="85"/>
      <c r="AM31" s="85"/>
    </row>
    <row r="32" spans="1:39" x14ac:dyDescent="0.35">
      <c r="A32" s="241" t="s">
        <v>207</v>
      </c>
      <c r="B32" s="165"/>
      <c r="C32" s="152"/>
      <c r="D32" s="152"/>
      <c r="E32" s="152"/>
      <c r="F32" s="152"/>
      <c r="G32" s="152"/>
      <c r="H32" s="152"/>
      <c r="I32" s="152"/>
      <c r="J32" s="152"/>
      <c r="K32" s="152"/>
      <c r="L32" s="152"/>
      <c r="M32" s="152"/>
      <c r="N32" s="152"/>
      <c r="O32" s="152"/>
      <c r="P32" s="152"/>
      <c r="Q32" s="152"/>
      <c r="R32" s="152"/>
      <c r="S32" s="152"/>
      <c r="V32" s="85"/>
      <c r="W32" s="85"/>
      <c r="X32" s="85"/>
      <c r="Y32" s="85"/>
      <c r="Z32" s="85"/>
      <c r="AA32" s="85"/>
      <c r="AB32" s="85"/>
      <c r="AC32" s="85"/>
      <c r="AL32" s="85"/>
      <c r="AM32" s="85"/>
    </row>
    <row r="33" spans="1:39" x14ac:dyDescent="0.35">
      <c r="A33" s="237" t="s">
        <v>200</v>
      </c>
      <c r="B33" s="165" t="s">
        <v>87</v>
      </c>
      <c r="C33" s="230"/>
      <c r="D33" s="230"/>
      <c r="E33" s="230"/>
      <c r="F33" s="230"/>
      <c r="G33" s="230"/>
      <c r="H33" s="230"/>
      <c r="I33" s="230"/>
      <c r="J33" s="230"/>
      <c r="K33" s="230"/>
      <c r="L33" s="230"/>
      <c r="M33" s="230"/>
      <c r="N33" s="230"/>
      <c r="O33" s="152"/>
      <c r="P33" s="152"/>
      <c r="Q33" s="152"/>
      <c r="R33" s="152"/>
      <c r="S33" s="230"/>
      <c r="V33" s="85"/>
      <c r="W33" s="85"/>
      <c r="X33" s="85"/>
      <c r="Y33" s="85"/>
      <c r="Z33" s="85"/>
      <c r="AA33" s="85"/>
      <c r="AB33" s="85"/>
      <c r="AC33" s="85"/>
      <c r="AL33" s="85"/>
      <c r="AM33" s="85"/>
    </row>
    <row r="34" spans="1:39" x14ac:dyDescent="0.35">
      <c r="A34" s="237" t="s">
        <v>201</v>
      </c>
      <c r="B34" s="165" t="s">
        <v>89</v>
      </c>
      <c r="C34" s="230"/>
      <c r="D34" s="230"/>
      <c r="E34" s="230"/>
      <c r="F34" s="230"/>
      <c r="G34" s="230"/>
      <c r="H34" s="230"/>
      <c r="I34" s="230"/>
      <c r="J34" s="230"/>
      <c r="K34" s="230"/>
      <c r="L34" s="230"/>
      <c r="M34" s="230"/>
      <c r="N34" s="230"/>
      <c r="O34" s="152"/>
      <c r="P34" s="152"/>
      <c r="Q34" s="152"/>
      <c r="R34" s="152"/>
      <c r="S34" s="230"/>
      <c r="V34" s="85"/>
      <c r="W34" s="85"/>
      <c r="X34" s="85"/>
      <c r="Y34" s="85"/>
      <c r="Z34" s="85"/>
      <c r="AA34" s="85"/>
      <c r="AB34" s="85"/>
      <c r="AC34" s="85"/>
      <c r="AL34" s="85"/>
      <c r="AM34" s="85"/>
    </row>
    <row r="35" spans="1:39" x14ac:dyDescent="0.35">
      <c r="A35" s="237" t="s">
        <v>202</v>
      </c>
      <c r="B35" s="165" t="s">
        <v>208</v>
      </c>
      <c r="C35" s="152"/>
      <c r="D35" s="152"/>
      <c r="E35" s="152"/>
      <c r="F35" s="152"/>
      <c r="G35" s="152"/>
      <c r="H35" s="152"/>
      <c r="I35" s="152"/>
      <c r="J35" s="152"/>
      <c r="K35" s="152"/>
      <c r="L35" s="152"/>
      <c r="M35" s="152"/>
      <c r="N35" s="152"/>
      <c r="O35" s="230"/>
      <c r="P35" s="230"/>
      <c r="Q35" s="230"/>
      <c r="R35" s="230"/>
      <c r="S35" s="230"/>
      <c r="V35" s="85"/>
      <c r="W35" s="85"/>
      <c r="X35" s="85"/>
      <c r="Y35" s="85"/>
      <c r="Z35" s="85"/>
      <c r="AA35" s="85"/>
      <c r="AB35" s="85"/>
      <c r="AC35" s="85"/>
      <c r="AL35" s="85"/>
      <c r="AM35" s="85"/>
    </row>
    <row r="36" spans="1:39" x14ac:dyDescent="0.35">
      <c r="A36" s="237" t="s">
        <v>203</v>
      </c>
      <c r="B36" s="165" t="s">
        <v>209</v>
      </c>
      <c r="C36" s="230"/>
      <c r="D36" s="230"/>
      <c r="E36" s="230"/>
      <c r="F36" s="230"/>
      <c r="G36" s="230"/>
      <c r="H36" s="230"/>
      <c r="I36" s="230"/>
      <c r="J36" s="230"/>
      <c r="K36" s="230"/>
      <c r="L36" s="230"/>
      <c r="M36" s="230"/>
      <c r="N36" s="230"/>
      <c r="O36" s="230"/>
      <c r="P36" s="230"/>
      <c r="Q36" s="230"/>
      <c r="R36" s="230"/>
      <c r="S36" s="230"/>
      <c r="V36" s="85"/>
      <c r="W36" s="85"/>
      <c r="X36" s="85"/>
      <c r="Y36" s="85"/>
      <c r="Z36" s="85"/>
      <c r="AA36" s="85"/>
      <c r="AB36" s="85"/>
      <c r="AC36" s="85"/>
      <c r="AL36" s="85"/>
      <c r="AM36" s="85"/>
    </row>
    <row r="37" spans="1:39" x14ac:dyDescent="0.35">
      <c r="A37" s="237" t="s">
        <v>204</v>
      </c>
      <c r="B37" s="165" t="s">
        <v>91</v>
      </c>
      <c r="C37" s="230"/>
      <c r="D37" s="230"/>
      <c r="E37" s="230"/>
      <c r="F37" s="230"/>
      <c r="G37" s="230"/>
      <c r="H37" s="230"/>
      <c r="I37" s="230"/>
      <c r="J37" s="230"/>
      <c r="K37" s="230"/>
      <c r="L37" s="230"/>
      <c r="M37" s="230"/>
      <c r="N37" s="230"/>
      <c r="O37" s="230"/>
      <c r="P37" s="230"/>
      <c r="Q37" s="230"/>
      <c r="R37" s="230"/>
      <c r="S37" s="230"/>
      <c r="V37" s="85"/>
      <c r="W37" s="85"/>
      <c r="X37" s="85"/>
      <c r="Y37" s="85"/>
      <c r="Z37" s="85"/>
      <c r="AA37" s="85"/>
      <c r="AB37" s="85"/>
      <c r="AC37" s="85"/>
      <c r="AL37" s="85"/>
      <c r="AM37" s="85"/>
    </row>
    <row r="38" spans="1:39" x14ac:dyDescent="0.35">
      <c r="A38" s="241" t="s">
        <v>210</v>
      </c>
      <c r="B38" s="165" t="s">
        <v>102</v>
      </c>
      <c r="C38" s="230">
        <v>679557.16977000004</v>
      </c>
      <c r="D38" s="230">
        <v>907464.56491999992</v>
      </c>
      <c r="E38" s="230">
        <v>406880.19387999998</v>
      </c>
      <c r="F38" s="230">
        <v>1356978.2567400001</v>
      </c>
      <c r="G38" s="230">
        <v>2662650.7034800001</v>
      </c>
      <c r="H38" s="230">
        <v>238072.35377000002</v>
      </c>
      <c r="I38" s="230">
        <v>2733989.3335799999</v>
      </c>
      <c r="J38" s="230">
        <v>515266.67112999997</v>
      </c>
      <c r="K38" s="230"/>
      <c r="L38" s="230"/>
      <c r="M38" s="230"/>
      <c r="N38" s="230"/>
      <c r="O38" s="230"/>
      <c r="P38" s="230"/>
      <c r="Q38" s="230"/>
      <c r="R38" s="230"/>
      <c r="S38" s="230">
        <v>9500859.2472700011</v>
      </c>
      <c r="V38" s="85"/>
      <c r="W38" s="85"/>
      <c r="X38" s="85"/>
      <c r="Y38" s="85"/>
      <c r="Z38" s="85"/>
      <c r="AA38" s="85"/>
      <c r="AB38" s="85"/>
      <c r="AC38" s="85"/>
      <c r="AL38" s="85"/>
      <c r="AM38" s="85"/>
    </row>
    <row r="39" spans="1:39" x14ac:dyDescent="0.35">
      <c r="A39" s="241" t="s">
        <v>211</v>
      </c>
      <c r="B39" s="165" t="s">
        <v>212</v>
      </c>
      <c r="C39" s="152"/>
      <c r="D39" s="152"/>
      <c r="E39" s="152"/>
      <c r="F39" s="152"/>
      <c r="G39" s="152"/>
      <c r="H39" s="152"/>
      <c r="I39" s="152"/>
      <c r="J39" s="152"/>
      <c r="K39" s="152"/>
      <c r="L39" s="152"/>
      <c r="M39" s="152"/>
      <c r="N39" s="152"/>
      <c r="O39" s="152"/>
      <c r="P39" s="152"/>
      <c r="Q39" s="152"/>
      <c r="R39" s="152"/>
      <c r="S39" s="230">
        <v>96049.208010000002</v>
      </c>
      <c r="V39" s="85"/>
      <c r="W39" s="85"/>
      <c r="X39" s="85"/>
      <c r="Y39" s="85"/>
      <c r="Z39" s="85"/>
      <c r="AA39" s="85"/>
      <c r="AB39" s="85"/>
      <c r="AC39" s="85"/>
      <c r="AL39" s="85"/>
      <c r="AM39" s="85"/>
    </row>
    <row r="40" spans="1:39" x14ac:dyDescent="0.35">
      <c r="A40" s="241" t="s">
        <v>213</v>
      </c>
      <c r="B40" s="165" t="s">
        <v>214</v>
      </c>
      <c r="C40" s="152"/>
      <c r="D40" s="152"/>
      <c r="E40" s="152"/>
      <c r="F40" s="152"/>
      <c r="G40" s="152"/>
      <c r="H40" s="152"/>
      <c r="I40" s="152"/>
      <c r="J40" s="152"/>
      <c r="K40" s="152"/>
      <c r="L40" s="152"/>
      <c r="M40" s="152"/>
      <c r="N40" s="152"/>
      <c r="O40" s="152"/>
      <c r="P40" s="152"/>
      <c r="Q40" s="152"/>
      <c r="R40" s="152"/>
      <c r="S40" s="230">
        <v>9596908.4552800003</v>
      </c>
      <c r="V40" s="85"/>
      <c r="W40" s="85"/>
      <c r="X40" s="85"/>
      <c r="Y40" s="85"/>
      <c r="Z40" s="85"/>
      <c r="AA40" s="85"/>
      <c r="AB40" s="85"/>
      <c r="AC40" s="85"/>
      <c r="AL40" s="85"/>
      <c r="AM40" s="85"/>
    </row>
    <row r="41" spans="1:39" x14ac:dyDescent="0.35">
      <c r="C41" s="86"/>
      <c r="D41" s="86"/>
      <c r="E41" s="86"/>
      <c r="F41" s="86"/>
      <c r="G41" s="86"/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</row>
    <row r="42" spans="1:39" x14ac:dyDescent="0.35">
      <c r="C42" s="87"/>
      <c r="D42" s="87"/>
    </row>
    <row r="43" spans="1:39" x14ac:dyDescent="0.35">
      <c r="D43" s="87"/>
      <c r="E43" s="87"/>
    </row>
    <row r="44" spans="1:39" x14ac:dyDescent="0.35">
      <c r="A44" s="63" t="s">
        <v>215</v>
      </c>
      <c r="D44" s="87"/>
      <c r="E44" s="87"/>
    </row>
    <row r="45" spans="1:39" x14ac:dyDescent="0.35">
      <c r="C45" s="87"/>
      <c r="D45" s="87"/>
    </row>
    <row r="46" spans="1:39" s="88" customFormat="1" x14ac:dyDescent="0.35">
      <c r="A46" s="80"/>
      <c r="M46" s="80"/>
      <c r="N46" s="80"/>
      <c r="O46" s="80"/>
      <c r="P46" s="80"/>
      <c r="Q46" s="80"/>
      <c r="R46" s="80"/>
      <c r="S46" s="80"/>
    </row>
    <row r="49" spans="1:42" x14ac:dyDescent="0.35">
      <c r="A49" s="65" t="s">
        <v>216</v>
      </c>
    </row>
    <row r="50" spans="1:42" x14ac:dyDescent="0.35">
      <c r="D50" s="87"/>
      <c r="E50" s="87"/>
      <c r="AP50" s="86"/>
    </row>
    <row r="51" spans="1:42" x14ac:dyDescent="0.35">
      <c r="C51" s="283" t="s">
        <v>217</v>
      </c>
      <c r="D51" s="284"/>
      <c r="E51" s="284"/>
      <c r="F51" s="284"/>
      <c r="G51" s="284"/>
      <c r="H51" s="285"/>
      <c r="I51" s="283" t="s">
        <v>218</v>
      </c>
      <c r="J51" s="285"/>
      <c r="K51" s="281" t="s">
        <v>166</v>
      </c>
      <c r="L51" s="89"/>
      <c r="AC51" s="86"/>
    </row>
    <row r="52" spans="1:42" ht="90" customHeight="1" x14ac:dyDescent="0.35">
      <c r="C52" s="165" t="s">
        <v>219</v>
      </c>
      <c r="D52" s="165" t="s">
        <v>220</v>
      </c>
      <c r="E52" s="165" t="s">
        <v>221</v>
      </c>
      <c r="F52" s="165" t="s">
        <v>222</v>
      </c>
      <c r="G52" s="165" t="s">
        <v>223</v>
      </c>
      <c r="H52" s="165" t="s">
        <v>224</v>
      </c>
      <c r="I52" s="165" t="s">
        <v>225</v>
      </c>
      <c r="J52" s="165" t="s">
        <v>226</v>
      </c>
      <c r="K52" s="282"/>
      <c r="L52" s="89"/>
      <c r="AA52" s="86"/>
    </row>
    <row r="53" spans="1:42" x14ac:dyDescent="0.35">
      <c r="C53" s="214" t="s">
        <v>227</v>
      </c>
      <c r="D53" s="214" t="s">
        <v>228</v>
      </c>
      <c r="E53" s="214" t="s">
        <v>229</v>
      </c>
      <c r="F53" s="214" t="s">
        <v>230</v>
      </c>
      <c r="G53" s="214" t="s">
        <v>231</v>
      </c>
      <c r="H53" s="214" t="s">
        <v>232</v>
      </c>
      <c r="I53" s="214" t="s">
        <v>233</v>
      </c>
      <c r="J53" s="214" t="s">
        <v>234</v>
      </c>
      <c r="K53" s="214" t="s">
        <v>235</v>
      </c>
      <c r="S53" s="86"/>
    </row>
    <row r="54" spans="1:42" x14ac:dyDescent="0.35">
      <c r="A54" s="241" t="s">
        <v>199</v>
      </c>
      <c r="B54" s="165"/>
      <c r="C54" s="152"/>
      <c r="D54" s="152"/>
      <c r="E54" s="152"/>
      <c r="F54" s="152"/>
      <c r="G54" s="152"/>
      <c r="H54" s="152"/>
      <c r="I54" s="152"/>
      <c r="J54" s="152"/>
      <c r="K54" s="152"/>
      <c r="S54" s="86"/>
    </row>
    <row r="55" spans="1:42" x14ac:dyDescent="0.35">
      <c r="A55" s="237" t="s">
        <v>236</v>
      </c>
      <c r="B55" s="165" t="s">
        <v>237</v>
      </c>
      <c r="C55" s="239"/>
      <c r="D55" s="239"/>
      <c r="E55" s="239"/>
      <c r="F55" s="239"/>
      <c r="G55" s="239"/>
      <c r="H55" s="239"/>
      <c r="I55" s="239"/>
      <c r="J55" s="239"/>
      <c r="K55" s="239"/>
      <c r="M55" s="85"/>
      <c r="N55" s="85"/>
      <c r="O55" s="85"/>
      <c r="P55" s="85"/>
      <c r="Q55" s="85"/>
      <c r="R55" s="85"/>
      <c r="S55" s="85"/>
      <c r="T55" s="86"/>
    </row>
    <row r="56" spans="1:42" x14ac:dyDescent="0.35">
      <c r="A56" s="237" t="s">
        <v>203</v>
      </c>
      <c r="B56" s="165" t="s">
        <v>238</v>
      </c>
      <c r="C56" s="239"/>
      <c r="D56" s="239"/>
      <c r="E56" s="239"/>
      <c r="F56" s="239"/>
      <c r="G56" s="239"/>
      <c r="H56" s="239"/>
      <c r="I56" s="239"/>
      <c r="J56" s="239"/>
      <c r="K56" s="239"/>
      <c r="M56" s="85"/>
      <c r="N56" s="85"/>
      <c r="O56" s="85"/>
      <c r="P56" s="85"/>
      <c r="Q56" s="85"/>
      <c r="R56" s="85"/>
      <c r="S56" s="85"/>
      <c r="T56" s="86"/>
    </row>
    <row r="57" spans="1:42" x14ac:dyDescent="0.35">
      <c r="A57" s="237" t="s">
        <v>204</v>
      </c>
      <c r="B57" s="165" t="s">
        <v>239</v>
      </c>
      <c r="C57" s="239"/>
      <c r="D57" s="239"/>
      <c r="E57" s="239"/>
      <c r="F57" s="239"/>
      <c r="G57" s="239"/>
      <c r="H57" s="239"/>
      <c r="I57" s="239"/>
      <c r="J57" s="239"/>
      <c r="K57" s="239"/>
      <c r="M57" s="85"/>
      <c r="N57" s="85"/>
      <c r="O57" s="85"/>
      <c r="P57" s="85"/>
      <c r="Q57" s="85"/>
      <c r="R57" s="85"/>
      <c r="S57" s="85"/>
      <c r="T57" s="86"/>
    </row>
    <row r="58" spans="1:42" x14ac:dyDescent="0.35">
      <c r="A58" s="241" t="s">
        <v>205</v>
      </c>
      <c r="B58" s="165"/>
      <c r="C58" s="152"/>
      <c r="D58" s="152"/>
      <c r="E58" s="152"/>
      <c r="F58" s="152"/>
      <c r="G58" s="152"/>
      <c r="H58" s="152"/>
      <c r="I58" s="152"/>
      <c r="J58" s="152"/>
      <c r="K58" s="152"/>
      <c r="M58" s="85"/>
      <c r="N58" s="85"/>
      <c r="O58" s="85"/>
      <c r="P58" s="85"/>
      <c r="Q58" s="85"/>
      <c r="R58" s="85"/>
      <c r="S58" s="85"/>
      <c r="T58" s="86"/>
    </row>
    <row r="59" spans="1:42" x14ac:dyDescent="0.35">
      <c r="A59" s="237" t="s">
        <v>236</v>
      </c>
      <c r="B59" s="165" t="s">
        <v>240</v>
      </c>
      <c r="C59" s="239"/>
      <c r="D59" s="239"/>
      <c r="E59" s="239"/>
      <c r="F59" s="239"/>
      <c r="G59" s="239"/>
      <c r="H59" s="239"/>
      <c r="I59" s="239"/>
      <c r="J59" s="239"/>
      <c r="K59" s="239"/>
      <c r="M59" s="85"/>
      <c r="N59" s="85"/>
      <c r="O59" s="85"/>
      <c r="P59" s="85"/>
      <c r="Q59" s="85"/>
      <c r="R59" s="85"/>
      <c r="S59" s="85"/>
      <c r="T59" s="86"/>
    </row>
    <row r="60" spans="1:42" x14ac:dyDescent="0.35">
      <c r="A60" s="237" t="s">
        <v>203</v>
      </c>
      <c r="B60" s="165" t="s">
        <v>241</v>
      </c>
      <c r="C60" s="239"/>
      <c r="D60" s="239"/>
      <c r="E60" s="239"/>
      <c r="F60" s="239"/>
      <c r="G60" s="239"/>
      <c r="H60" s="239"/>
      <c r="I60" s="239"/>
      <c r="J60" s="239"/>
      <c r="K60" s="239"/>
      <c r="M60" s="85"/>
      <c r="N60" s="85"/>
      <c r="O60" s="85"/>
      <c r="P60" s="85"/>
      <c r="Q60" s="85"/>
      <c r="R60" s="85"/>
      <c r="S60" s="85"/>
      <c r="T60" s="86"/>
    </row>
    <row r="61" spans="1:42" x14ac:dyDescent="0.35">
      <c r="A61" s="237" t="s">
        <v>204</v>
      </c>
      <c r="B61" s="165" t="s">
        <v>242</v>
      </c>
      <c r="C61" s="239"/>
      <c r="D61" s="239"/>
      <c r="E61" s="239"/>
      <c r="F61" s="239"/>
      <c r="G61" s="239"/>
      <c r="H61" s="239"/>
      <c r="I61" s="239"/>
      <c r="J61" s="239"/>
      <c r="K61" s="239"/>
      <c r="M61" s="85"/>
      <c r="N61" s="85"/>
      <c r="O61" s="85"/>
      <c r="P61" s="85"/>
      <c r="Q61" s="85"/>
      <c r="R61" s="85"/>
      <c r="S61" s="85"/>
      <c r="T61" s="86"/>
    </row>
    <row r="62" spans="1:42" x14ac:dyDescent="0.35">
      <c r="A62" s="241" t="s">
        <v>206</v>
      </c>
      <c r="B62" s="165"/>
      <c r="C62" s="152"/>
      <c r="D62" s="152"/>
      <c r="E62" s="152"/>
      <c r="F62" s="152"/>
      <c r="G62" s="152"/>
      <c r="H62" s="152"/>
      <c r="I62" s="152"/>
      <c r="J62" s="152"/>
      <c r="K62" s="152"/>
      <c r="M62" s="85"/>
      <c r="N62" s="85"/>
      <c r="O62" s="85"/>
      <c r="P62" s="85"/>
      <c r="Q62" s="85"/>
      <c r="R62" s="85"/>
      <c r="S62" s="85"/>
      <c r="T62" s="86"/>
    </row>
    <row r="63" spans="1:42" x14ac:dyDescent="0.35">
      <c r="A63" s="237" t="s">
        <v>236</v>
      </c>
      <c r="B63" s="165" t="s">
        <v>243</v>
      </c>
      <c r="C63" s="239"/>
      <c r="D63" s="239"/>
      <c r="E63" s="239"/>
      <c r="F63" s="239"/>
      <c r="G63" s="230">
        <v>780754.72930000001</v>
      </c>
      <c r="H63" s="230">
        <v>423377.53801999998</v>
      </c>
      <c r="I63" s="230"/>
      <c r="J63" s="230"/>
      <c r="K63" s="230">
        <v>1204132.2673199999</v>
      </c>
      <c r="M63" s="85"/>
      <c r="N63" s="85"/>
      <c r="O63" s="85"/>
      <c r="P63" s="85"/>
      <c r="Q63" s="85"/>
      <c r="R63" s="85"/>
      <c r="S63" s="85"/>
      <c r="T63" s="86"/>
    </row>
    <row r="64" spans="1:42" x14ac:dyDescent="0.35">
      <c r="A64" s="237" t="s">
        <v>203</v>
      </c>
      <c r="B64" s="165" t="s">
        <v>244</v>
      </c>
      <c r="C64" s="239"/>
      <c r="D64" s="239"/>
      <c r="E64" s="239"/>
      <c r="F64" s="239"/>
      <c r="G64" s="230"/>
      <c r="H64" s="230"/>
      <c r="I64" s="230"/>
      <c r="J64" s="230"/>
      <c r="K64" s="230"/>
      <c r="M64" s="85"/>
      <c r="N64" s="85"/>
      <c r="O64" s="85"/>
      <c r="P64" s="85"/>
      <c r="Q64" s="85"/>
      <c r="R64" s="85"/>
      <c r="S64" s="85"/>
      <c r="T64" s="86"/>
    </row>
    <row r="65" spans="1:32" x14ac:dyDescent="0.35">
      <c r="A65" s="237" t="s">
        <v>204</v>
      </c>
      <c r="B65" s="165" t="s">
        <v>245</v>
      </c>
      <c r="C65" s="239"/>
      <c r="D65" s="239"/>
      <c r="E65" s="239"/>
      <c r="F65" s="239"/>
      <c r="G65" s="230">
        <v>780754.72930000001</v>
      </c>
      <c r="H65" s="230">
        <v>423377.53801999998</v>
      </c>
      <c r="I65" s="230"/>
      <c r="J65" s="230"/>
      <c r="K65" s="230">
        <v>1204132.2673199999</v>
      </c>
      <c r="M65" s="85"/>
      <c r="N65" s="85"/>
      <c r="O65" s="85"/>
      <c r="P65" s="85"/>
      <c r="Q65" s="85"/>
      <c r="R65" s="85"/>
      <c r="S65" s="85"/>
      <c r="T65" s="86"/>
    </row>
    <row r="66" spans="1:32" x14ac:dyDescent="0.35">
      <c r="A66" s="241" t="s">
        <v>207</v>
      </c>
      <c r="B66" s="165"/>
      <c r="C66" s="152"/>
      <c r="D66" s="152"/>
      <c r="E66" s="152"/>
      <c r="F66" s="152"/>
      <c r="G66" s="152"/>
      <c r="H66" s="152"/>
      <c r="I66" s="152"/>
      <c r="J66" s="152"/>
      <c r="K66" s="152"/>
      <c r="M66" s="85"/>
      <c r="N66" s="85"/>
      <c r="O66" s="85"/>
      <c r="P66" s="85"/>
      <c r="Q66" s="85"/>
      <c r="R66" s="85"/>
      <c r="S66" s="85"/>
      <c r="T66" s="86"/>
    </row>
    <row r="67" spans="1:32" x14ac:dyDescent="0.35">
      <c r="A67" s="237" t="s">
        <v>236</v>
      </c>
      <c r="B67" s="165" t="s">
        <v>246</v>
      </c>
      <c r="C67" s="239"/>
      <c r="D67" s="239"/>
      <c r="E67" s="239"/>
      <c r="F67" s="239"/>
      <c r="G67" s="239"/>
      <c r="H67" s="239"/>
      <c r="I67" s="239"/>
      <c r="J67" s="239"/>
      <c r="K67" s="239"/>
      <c r="M67" s="85"/>
      <c r="N67" s="85"/>
      <c r="O67" s="85"/>
      <c r="P67" s="85"/>
      <c r="Q67" s="85"/>
      <c r="R67" s="85"/>
      <c r="S67" s="90"/>
      <c r="AE67" s="89"/>
      <c r="AF67" s="89"/>
    </row>
    <row r="68" spans="1:32" x14ac:dyDescent="0.35">
      <c r="A68" s="237" t="s">
        <v>203</v>
      </c>
      <c r="B68" s="165" t="s">
        <v>247</v>
      </c>
      <c r="C68" s="239"/>
      <c r="D68" s="239"/>
      <c r="E68" s="239"/>
      <c r="F68" s="239"/>
      <c r="G68" s="239"/>
      <c r="H68" s="239"/>
      <c r="I68" s="239"/>
      <c r="J68" s="239"/>
      <c r="K68" s="239"/>
      <c r="M68" s="85"/>
      <c r="N68" s="85"/>
      <c r="O68" s="85"/>
      <c r="P68" s="85"/>
      <c r="Q68" s="85"/>
      <c r="R68" s="85"/>
      <c r="S68" s="90"/>
      <c r="AE68" s="89"/>
      <c r="AF68" s="89"/>
    </row>
    <row r="69" spans="1:32" x14ac:dyDescent="0.35">
      <c r="A69" s="237" t="s">
        <v>204</v>
      </c>
      <c r="B69" s="165" t="s">
        <v>248</v>
      </c>
      <c r="C69" s="239"/>
      <c r="D69" s="239"/>
      <c r="E69" s="239"/>
      <c r="F69" s="239"/>
      <c r="G69" s="239"/>
      <c r="H69" s="239"/>
      <c r="I69" s="239"/>
      <c r="J69" s="239"/>
      <c r="K69" s="239"/>
      <c r="M69" s="85"/>
      <c r="N69" s="85"/>
      <c r="O69" s="85"/>
      <c r="P69" s="85"/>
      <c r="Q69" s="85"/>
      <c r="R69" s="85"/>
      <c r="S69" s="90"/>
      <c r="AE69" s="89"/>
      <c r="AF69" s="89"/>
    </row>
    <row r="70" spans="1:32" x14ac:dyDescent="0.35">
      <c r="A70" s="241" t="s">
        <v>210</v>
      </c>
      <c r="B70" s="165" t="s">
        <v>249</v>
      </c>
      <c r="C70" s="239"/>
      <c r="D70" s="239"/>
      <c r="E70" s="239"/>
      <c r="F70" s="239"/>
      <c r="G70" s="239"/>
      <c r="H70" s="239"/>
      <c r="I70" s="239"/>
      <c r="J70" s="239"/>
      <c r="K70" s="239"/>
      <c r="M70" s="85"/>
      <c r="N70" s="85"/>
      <c r="O70" s="85"/>
      <c r="P70" s="85"/>
      <c r="Q70" s="85"/>
      <c r="R70" s="85"/>
      <c r="S70" s="90"/>
      <c r="AE70" s="89"/>
      <c r="AF70" s="89"/>
    </row>
    <row r="71" spans="1:32" x14ac:dyDescent="0.35">
      <c r="A71" s="241" t="s">
        <v>211</v>
      </c>
      <c r="B71" s="165" t="s">
        <v>250</v>
      </c>
      <c r="C71" s="152"/>
      <c r="D71" s="152"/>
      <c r="E71" s="152"/>
      <c r="F71" s="152"/>
      <c r="G71" s="152"/>
      <c r="H71" s="152"/>
      <c r="I71" s="152"/>
      <c r="J71" s="152"/>
      <c r="K71" s="239"/>
      <c r="M71" s="85"/>
      <c r="N71" s="85"/>
      <c r="O71" s="85"/>
      <c r="P71" s="85"/>
      <c r="Q71" s="85"/>
      <c r="R71" s="85"/>
      <c r="S71" s="90"/>
      <c r="T71" s="89"/>
      <c r="AE71" s="89"/>
      <c r="AF71" s="89"/>
    </row>
    <row r="72" spans="1:32" x14ac:dyDescent="0.35">
      <c r="A72" s="241" t="s">
        <v>213</v>
      </c>
      <c r="B72" s="165" t="s">
        <v>251</v>
      </c>
      <c r="C72" s="152"/>
      <c r="D72" s="152"/>
      <c r="E72" s="152"/>
      <c r="F72" s="152"/>
      <c r="G72" s="152"/>
      <c r="H72" s="152"/>
      <c r="I72" s="152"/>
      <c r="J72" s="152"/>
      <c r="K72" s="242"/>
      <c r="M72" s="85"/>
      <c r="N72" s="85"/>
      <c r="O72" s="85"/>
      <c r="P72" s="85"/>
      <c r="Q72" s="85"/>
      <c r="R72" s="85"/>
      <c r="S72" s="90"/>
      <c r="T72" s="89"/>
      <c r="AE72" s="89"/>
      <c r="AF72" s="89"/>
    </row>
    <row r="73" spans="1:32" x14ac:dyDescent="0.35">
      <c r="C73" s="91"/>
      <c r="D73" s="91"/>
      <c r="E73" s="91"/>
      <c r="F73" s="91"/>
      <c r="G73" s="91"/>
      <c r="H73" s="91"/>
      <c r="I73" s="91"/>
      <c r="J73" s="91"/>
      <c r="K73" s="91"/>
    </row>
    <row r="74" spans="1:32" x14ac:dyDescent="0.35">
      <c r="C74" s="86"/>
      <c r="D74" s="86"/>
      <c r="E74" s="86"/>
      <c r="F74" s="86"/>
      <c r="G74" s="86"/>
      <c r="H74" s="86"/>
      <c r="I74" s="86"/>
      <c r="J74" s="86"/>
      <c r="K74" s="86"/>
      <c r="S74" s="86"/>
    </row>
    <row r="76" spans="1:32" x14ac:dyDescent="0.35">
      <c r="AC76" s="86"/>
    </row>
    <row r="77" spans="1:32" x14ac:dyDescent="0.35">
      <c r="B77" s="87"/>
      <c r="C77" s="87"/>
      <c r="D77" s="87"/>
      <c r="E77" s="87"/>
      <c r="L77" s="88"/>
      <c r="AB77" s="86"/>
    </row>
    <row r="78" spans="1:32" x14ac:dyDescent="0.35">
      <c r="L78" s="88"/>
      <c r="AB78" s="86"/>
    </row>
    <row r="79" spans="1:32" x14ac:dyDescent="0.35">
      <c r="M79" s="88"/>
      <c r="N79" s="88"/>
      <c r="AB79" s="86"/>
    </row>
    <row r="81" spans="24:24" x14ac:dyDescent="0.35">
      <c r="X81" s="86"/>
    </row>
  </sheetData>
  <mergeCells count="6">
    <mergeCell ref="C11:N11"/>
    <mergeCell ref="O11:R11"/>
    <mergeCell ref="S11:S12"/>
    <mergeCell ref="C51:H51"/>
    <mergeCell ref="I51:J51"/>
    <mergeCell ref="K51:K52"/>
  </mergeCells>
  <pageMargins left="0.7" right="0.7" top="0.75" bottom="0.75" header="0.3" footer="0.3"/>
  <pageSetup paperSize="9" scale="3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B624ED-62DD-4AF8-BD26-AFE2DD4FD5F2}">
  <dimension ref="A1:Y88"/>
  <sheetViews>
    <sheetView showGridLines="0" zoomScale="80" zoomScaleNormal="80" workbookViewId="0">
      <selection activeCell="E11" sqref="E11"/>
    </sheetView>
  </sheetViews>
  <sheetFormatPr defaultColWidth="9.1796875" defaultRowHeight="14.5" x14ac:dyDescent="0.35"/>
  <cols>
    <col min="1" max="1" width="41.1796875" style="64" bestFit="1" customWidth="1"/>
    <col min="2" max="2" width="6.453125" style="64" bestFit="1" customWidth="1"/>
    <col min="3" max="3" width="29.453125" style="64" bestFit="1" customWidth="1"/>
    <col min="4" max="4" width="9.1796875" style="64"/>
    <col min="5" max="5" width="44.54296875" style="64" bestFit="1" customWidth="1"/>
    <col min="6" max="9" width="44.54296875" style="64" customWidth="1"/>
    <col min="10" max="13" width="6.81640625" style="64" bestFit="1" customWidth="1"/>
    <col min="14" max="14" width="9.1796875" style="64"/>
    <col min="15" max="15" width="41.54296875" style="64" customWidth="1"/>
    <col min="16" max="16" width="39.81640625" style="64" bestFit="1" customWidth="1"/>
    <col min="17" max="17" width="28.1796875" style="64" bestFit="1" customWidth="1"/>
    <col min="18" max="18" width="20.453125" style="64" bestFit="1" customWidth="1"/>
    <col min="19" max="20" width="96" style="64" bestFit="1" customWidth="1"/>
    <col min="21" max="21" width="37.54296875" style="64" bestFit="1" customWidth="1"/>
    <col min="22" max="22" width="13.453125" style="64" bestFit="1" customWidth="1"/>
    <col min="23" max="16384" width="9.1796875" style="64"/>
  </cols>
  <sheetData>
    <row r="1" spans="1:24" x14ac:dyDescent="0.35">
      <c r="A1" s="63" t="s">
        <v>252</v>
      </c>
    </row>
    <row r="2" spans="1:24" x14ac:dyDescent="0.35">
      <c r="A2" s="65" t="s">
        <v>253</v>
      </c>
    </row>
    <row r="3" spans="1:24" x14ac:dyDescent="0.35">
      <c r="A3" s="65"/>
    </row>
    <row r="4" spans="1:24" x14ac:dyDescent="0.35">
      <c r="A4" s="63" t="s">
        <v>254</v>
      </c>
      <c r="E4" s="63" t="s">
        <v>255</v>
      </c>
      <c r="F4" s="63"/>
      <c r="G4" s="63"/>
      <c r="H4" s="63"/>
      <c r="I4" s="63"/>
      <c r="J4" s="80"/>
      <c r="K4" s="80"/>
      <c r="L4" s="80"/>
      <c r="M4" s="80"/>
      <c r="N4" s="80"/>
      <c r="O4" s="63" t="s">
        <v>256</v>
      </c>
    </row>
    <row r="10" spans="1:24" x14ac:dyDescent="0.35">
      <c r="B10" s="80"/>
      <c r="C10" s="80"/>
      <c r="J10" s="80"/>
      <c r="K10" s="80"/>
      <c r="L10" s="80"/>
      <c r="M10" s="80"/>
      <c r="N10" s="80"/>
    </row>
    <row r="11" spans="1:24" x14ac:dyDescent="0.35">
      <c r="A11" s="65" t="s">
        <v>257</v>
      </c>
      <c r="B11" s="78"/>
      <c r="C11" s="78"/>
      <c r="E11" s="65" t="s">
        <v>258</v>
      </c>
      <c r="F11" s="65"/>
      <c r="G11" s="65"/>
      <c r="H11" s="65"/>
      <c r="I11" s="65"/>
      <c r="O11" s="65" t="s">
        <v>259</v>
      </c>
    </row>
    <row r="12" spans="1:24" x14ac:dyDescent="0.35">
      <c r="J12" s="80"/>
      <c r="K12" s="80"/>
      <c r="L12" s="80"/>
      <c r="M12" s="80"/>
      <c r="N12" s="80"/>
      <c r="P12" s="80"/>
      <c r="Q12" s="80"/>
      <c r="R12" s="80"/>
      <c r="S12" s="80"/>
      <c r="T12" s="80"/>
      <c r="U12" s="80"/>
      <c r="V12" s="80"/>
      <c r="W12" s="80"/>
      <c r="X12" s="80"/>
    </row>
    <row r="13" spans="1:24" ht="45" customHeight="1" x14ac:dyDescent="0.35">
      <c r="C13" s="165" t="s">
        <v>260</v>
      </c>
      <c r="E13" s="165" t="s">
        <v>261</v>
      </c>
      <c r="F13" s="165" t="s">
        <v>262</v>
      </c>
      <c r="G13" s="165" t="s">
        <v>263</v>
      </c>
      <c r="H13" s="165" t="s">
        <v>264</v>
      </c>
      <c r="I13" s="165" t="s">
        <v>265</v>
      </c>
      <c r="L13" s="80"/>
      <c r="M13" s="80"/>
      <c r="N13" s="92"/>
      <c r="O13" s="165" t="s">
        <v>266</v>
      </c>
      <c r="P13" s="80"/>
      <c r="Q13" s="80"/>
      <c r="R13" s="80"/>
      <c r="S13" s="80"/>
      <c r="T13" s="80"/>
      <c r="U13" s="80"/>
      <c r="V13" s="80"/>
      <c r="W13" s="80"/>
    </row>
    <row r="14" spans="1:24" x14ac:dyDescent="0.35">
      <c r="C14" s="243" t="s">
        <v>189</v>
      </c>
      <c r="E14" s="243" t="s">
        <v>190</v>
      </c>
      <c r="F14" s="243" t="s">
        <v>191</v>
      </c>
      <c r="G14" s="243" t="s">
        <v>192</v>
      </c>
      <c r="H14" s="243" t="s">
        <v>193</v>
      </c>
      <c r="I14" s="243" t="s">
        <v>194</v>
      </c>
      <c r="L14" s="87"/>
      <c r="M14" s="87"/>
      <c r="N14" s="93"/>
      <c r="O14" s="243" t="s">
        <v>195</v>
      </c>
      <c r="P14" s="80"/>
      <c r="Q14" s="80"/>
      <c r="R14" s="80"/>
      <c r="S14" s="80"/>
      <c r="T14" s="80"/>
      <c r="U14" s="80"/>
      <c r="V14" s="80"/>
      <c r="W14" s="80"/>
    </row>
    <row r="15" spans="1:24" x14ac:dyDescent="0.35">
      <c r="A15" s="241" t="s">
        <v>199</v>
      </c>
      <c r="B15" s="243"/>
      <c r="C15" s="152"/>
      <c r="E15" s="152"/>
      <c r="F15" s="152"/>
      <c r="G15" s="152"/>
      <c r="H15" s="152"/>
      <c r="I15" s="152"/>
      <c r="J15" s="80"/>
      <c r="K15" s="80"/>
      <c r="L15" s="80"/>
      <c r="M15" s="80"/>
      <c r="N15" s="80"/>
      <c r="O15" s="152"/>
      <c r="P15" s="80"/>
      <c r="Q15" s="80"/>
      <c r="R15" s="80"/>
      <c r="S15" s="80"/>
      <c r="T15" s="80"/>
      <c r="U15" s="80"/>
      <c r="V15" s="80"/>
      <c r="W15" s="80"/>
      <c r="X15" s="80"/>
    </row>
    <row r="16" spans="1:24" x14ac:dyDescent="0.35">
      <c r="A16" s="237" t="s">
        <v>200</v>
      </c>
      <c r="B16" s="165" t="s">
        <v>27</v>
      </c>
      <c r="C16" s="230">
        <v>16069953.76932</v>
      </c>
      <c r="E16" s="230">
        <v>9962841.7867600005</v>
      </c>
      <c r="F16" s="230">
        <v>15084820.13741</v>
      </c>
      <c r="G16" s="230">
        <v>4515047.3994499994</v>
      </c>
      <c r="H16" s="230">
        <v>142805.47974000001</v>
      </c>
      <c r="I16" s="230">
        <v>86874.460180000009</v>
      </c>
      <c r="J16" s="80"/>
      <c r="K16" s="80"/>
      <c r="L16" s="80"/>
      <c r="M16" s="80"/>
      <c r="N16" s="80"/>
      <c r="O16" s="244">
        <v>45862343.032860003</v>
      </c>
      <c r="P16" s="80"/>
      <c r="Q16" s="80"/>
      <c r="R16" s="85"/>
      <c r="S16" s="85"/>
      <c r="T16" s="85"/>
      <c r="U16" s="85"/>
      <c r="V16" s="85"/>
      <c r="W16" s="85"/>
      <c r="X16" s="85"/>
    </row>
    <row r="17" spans="1:24" x14ac:dyDescent="0.35">
      <c r="A17" s="237" t="s">
        <v>201</v>
      </c>
      <c r="B17" s="165" t="s">
        <v>29</v>
      </c>
      <c r="C17" s="230">
        <v>743258.63827999996</v>
      </c>
      <c r="E17" s="230">
        <v>227547.37983000002</v>
      </c>
      <c r="F17" s="230">
        <v>341176.50608999998</v>
      </c>
      <c r="G17" s="230">
        <v>95192.331420000002</v>
      </c>
      <c r="H17" s="230">
        <v>9.3844999999999992</v>
      </c>
      <c r="I17" s="230">
        <v>0</v>
      </c>
      <c r="J17" s="80"/>
      <c r="K17" s="80"/>
      <c r="L17" s="80"/>
      <c r="M17" s="80"/>
      <c r="N17" s="80"/>
      <c r="O17" s="230">
        <v>1407184.24012</v>
      </c>
      <c r="P17" s="80"/>
      <c r="Q17" s="80"/>
      <c r="R17" s="85"/>
      <c r="S17" s="85"/>
      <c r="T17" s="85"/>
      <c r="U17" s="85"/>
      <c r="V17" s="85"/>
      <c r="W17" s="85"/>
      <c r="X17" s="85"/>
    </row>
    <row r="18" spans="1:24" ht="15" customHeight="1" x14ac:dyDescent="0.35">
      <c r="A18" s="237" t="s">
        <v>202</v>
      </c>
      <c r="B18" s="165" t="s">
        <v>31</v>
      </c>
      <c r="C18" s="230"/>
      <c r="E18" s="230"/>
      <c r="F18" s="230"/>
      <c r="G18" s="230"/>
      <c r="H18" s="230"/>
      <c r="I18" s="230"/>
      <c r="J18" s="80"/>
      <c r="K18" s="80"/>
      <c r="L18" s="80"/>
      <c r="M18" s="80"/>
      <c r="N18" s="80"/>
      <c r="O18" s="230"/>
      <c r="P18" s="80"/>
      <c r="Q18" s="80"/>
      <c r="R18" s="85"/>
      <c r="S18" s="85"/>
      <c r="T18" s="85"/>
      <c r="U18" s="85"/>
      <c r="V18" s="85"/>
      <c r="W18" s="85"/>
      <c r="X18" s="85"/>
    </row>
    <row r="19" spans="1:24" x14ac:dyDescent="0.35">
      <c r="A19" s="237" t="s">
        <v>203</v>
      </c>
      <c r="B19" s="165" t="s">
        <v>33</v>
      </c>
      <c r="C19" s="230">
        <v>892961.21956</v>
      </c>
      <c r="E19" s="230">
        <v>270197.35423</v>
      </c>
      <c r="F19" s="230">
        <v>534112.98130999994</v>
      </c>
      <c r="G19" s="230">
        <v>180027.80553000001</v>
      </c>
      <c r="H19" s="230">
        <v>65138.291680000002</v>
      </c>
      <c r="I19" s="230">
        <v>54475.534970000001</v>
      </c>
      <c r="J19" s="80"/>
      <c r="K19" s="80"/>
      <c r="L19" s="80"/>
      <c r="M19" s="80"/>
      <c r="N19" s="80"/>
      <c r="O19" s="230">
        <v>1996913.18728</v>
      </c>
      <c r="P19" s="80"/>
      <c r="Q19" s="80"/>
      <c r="R19" s="85"/>
      <c r="S19" s="85"/>
      <c r="T19" s="85"/>
      <c r="U19" s="85"/>
      <c r="V19" s="85"/>
      <c r="W19" s="85"/>
      <c r="X19" s="85"/>
    </row>
    <row r="20" spans="1:24" x14ac:dyDescent="0.35">
      <c r="A20" s="237" t="s">
        <v>204</v>
      </c>
      <c r="B20" s="165" t="s">
        <v>45</v>
      </c>
      <c r="C20" s="230">
        <v>15920251.188040001</v>
      </c>
      <c r="E20" s="230">
        <v>9920191.8123599999</v>
      </c>
      <c r="F20" s="230">
        <v>14891883.662190001</v>
      </c>
      <c r="G20" s="230">
        <v>4430211.9253400005</v>
      </c>
      <c r="H20" s="230">
        <v>77676.572560000001</v>
      </c>
      <c r="I20" s="230">
        <v>32398.925210000001</v>
      </c>
      <c r="J20" s="80"/>
      <c r="K20" s="80"/>
      <c r="L20" s="80"/>
      <c r="M20" s="80"/>
      <c r="N20" s="80"/>
      <c r="O20" s="230">
        <v>45272614.085699998</v>
      </c>
      <c r="P20" s="80"/>
      <c r="Q20" s="80"/>
      <c r="R20" s="85"/>
      <c r="S20" s="85"/>
      <c r="T20" s="85"/>
      <c r="U20" s="85"/>
      <c r="V20" s="85"/>
      <c r="W20" s="85"/>
      <c r="X20" s="85"/>
    </row>
    <row r="21" spans="1:24" x14ac:dyDescent="0.35">
      <c r="A21" s="241" t="s">
        <v>205</v>
      </c>
      <c r="B21" s="243"/>
      <c r="C21" s="152"/>
      <c r="E21" s="152"/>
      <c r="F21" s="152"/>
      <c r="G21" s="152"/>
      <c r="H21" s="152"/>
      <c r="I21" s="152"/>
      <c r="J21" s="80"/>
      <c r="K21" s="80"/>
      <c r="L21" s="80"/>
      <c r="M21" s="80"/>
      <c r="N21" s="80"/>
      <c r="O21" s="152"/>
      <c r="P21" s="80"/>
      <c r="Q21" s="80"/>
      <c r="R21" s="85"/>
      <c r="S21" s="85"/>
      <c r="T21" s="85"/>
      <c r="U21" s="85"/>
      <c r="V21" s="85"/>
      <c r="W21" s="85"/>
      <c r="X21" s="85"/>
    </row>
    <row r="22" spans="1:24" x14ac:dyDescent="0.35">
      <c r="A22" s="237" t="s">
        <v>200</v>
      </c>
      <c r="B22" s="165" t="s">
        <v>47</v>
      </c>
      <c r="C22" s="230">
        <v>15821738.784190001</v>
      </c>
      <c r="E22" s="230">
        <v>9935321.23013</v>
      </c>
      <c r="F22" s="230">
        <v>14568484.35682</v>
      </c>
      <c r="G22" s="230">
        <v>4427670.0592299998</v>
      </c>
      <c r="H22" s="230">
        <v>140340.17598</v>
      </c>
      <c r="I22" s="230">
        <v>90366.970780000003</v>
      </c>
      <c r="J22" s="80"/>
      <c r="K22" s="80"/>
      <c r="L22" s="80"/>
      <c r="M22" s="80"/>
      <c r="N22" s="80"/>
      <c r="O22" s="230">
        <v>44983921.577129997</v>
      </c>
      <c r="P22" s="80"/>
      <c r="Q22" s="80"/>
      <c r="R22" s="85"/>
      <c r="S22" s="85"/>
      <c r="T22" s="85"/>
      <c r="U22" s="85"/>
      <c r="V22" s="85"/>
      <c r="W22" s="85"/>
      <c r="X22" s="85"/>
    </row>
    <row r="23" spans="1:24" x14ac:dyDescent="0.35">
      <c r="A23" s="237" t="s">
        <v>201</v>
      </c>
      <c r="B23" s="165" t="s">
        <v>49</v>
      </c>
      <c r="C23" s="230">
        <v>706565.08853999991</v>
      </c>
      <c r="E23" s="230">
        <v>204193.08535000001</v>
      </c>
      <c r="F23" s="230">
        <v>334391.49697000004</v>
      </c>
      <c r="G23" s="230">
        <v>94335.700779999999</v>
      </c>
      <c r="H23" s="230">
        <v>11.127459999999999</v>
      </c>
      <c r="I23" s="230"/>
      <c r="J23" s="80"/>
      <c r="K23" s="80"/>
      <c r="L23" s="80"/>
      <c r="M23" s="80"/>
      <c r="N23" s="80"/>
      <c r="O23" s="230">
        <v>1339496.4990999999</v>
      </c>
      <c r="P23" s="80"/>
      <c r="Q23" s="80"/>
      <c r="R23" s="85"/>
      <c r="S23" s="85"/>
      <c r="T23" s="85"/>
      <c r="U23" s="85"/>
      <c r="V23" s="85"/>
      <c r="W23" s="85"/>
      <c r="X23" s="85"/>
    </row>
    <row r="24" spans="1:24" ht="15.75" customHeight="1" x14ac:dyDescent="0.35">
      <c r="A24" s="237" t="s">
        <v>202</v>
      </c>
      <c r="B24" s="165" t="s">
        <v>51</v>
      </c>
      <c r="C24" s="230"/>
      <c r="E24" s="230"/>
      <c r="F24" s="230"/>
      <c r="G24" s="230"/>
      <c r="H24" s="230"/>
      <c r="I24" s="230"/>
      <c r="J24" s="80"/>
      <c r="K24" s="80"/>
      <c r="L24" s="80"/>
      <c r="M24" s="80"/>
      <c r="N24" s="80"/>
      <c r="O24" s="230"/>
      <c r="P24" s="80"/>
      <c r="Q24" s="80"/>
      <c r="R24" s="85"/>
      <c r="S24" s="85"/>
      <c r="T24" s="85"/>
      <c r="U24" s="85"/>
      <c r="V24" s="85"/>
      <c r="W24" s="85"/>
      <c r="X24" s="85"/>
    </row>
    <row r="25" spans="1:24" x14ac:dyDescent="0.35">
      <c r="A25" s="237" t="s">
        <v>203</v>
      </c>
      <c r="B25" s="165" t="s">
        <v>53</v>
      </c>
      <c r="C25" s="230">
        <v>878655.08649999998</v>
      </c>
      <c r="E25" s="230">
        <v>247629.11193000001</v>
      </c>
      <c r="F25" s="230">
        <v>507176.26104000001</v>
      </c>
      <c r="G25" s="230">
        <v>176438.25209999998</v>
      </c>
      <c r="H25" s="230">
        <v>63971.565999999999</v>
      </c>
      <c r="I25" s="230">
        <v>56182.966990000001</v>
      </c>
      <c r="J25" s="80"/>
      <c r="K25" s="80"/>
      <c r="L25" s="80"/>
      <c r="M25" s="80"/>
      <c r="N25" s="80"/>
      <c r="O25" s="230">
        <v>1930053.24456</v>
      </c>
      <c r="P25" s="80"/>
      <c r="Q25" s="80"/>
      <c r="R25" s="85"/>
      <c r="S25" s="85"/>
      <c r="T25" s="85"/>
      <c r="U25" s="85"/>
      <c r="V25" s="85"/>
      <c r="W25" s="85"/>
      <c r="X25" s="85"/>
    </row>
    <row r="26" spans="1:24" x14ac:dyDescent="0.35">
      <c r="A26" s="237" t="s">
        <v>204</v>
      </c>
      <c r="B26" s="165" t="s">
        <v>65</v>
      </c>
      <c r="C26" s="230">
        <v>15649648.78623</v>
      </c>
      <c r="E26" s="230">
        <v>9891885.2035499997</v>
      </c>
      <c r="F26" s="230">
        <v>14395699.59275</v>
      </c>
      <c r="G26" s="230">
        <v>4345567.5079100002</v>
      </c>
      <c r="H26" s="230">
        <v>76379.737439999997</v>
      </c>
      <c r="I26" s="230">
        <v>34184.003790000002</v>
      </c>
      <c r="J26" s="80"/>
      <c r="K26" s="80"/>
      <c r="L26" s="80"/>
      <c r="M26" s="80"/>
      <c r="N26" s="80"/>
      <c r="O26" s="230">
        <v>44393364.831670001</v>
      </c>
      <c r="P26" s="80"/>
      <c r="Q26" s="80"/>
      <c r="R26" s="85"/>
      <c r="S26" s="85"/>
      <c r="T26" s="85"/>
      <c r="U26" s="85"/>
      <c r="V26" s="85"/>
      <c r="W26" s="85"/>
      <c r="X26" s="85"/>
    </row>
    <row r="27" spans="1:24" x14ac:dyDescent="0.35">
      <c r="A27" s="241" t="s">
        <v>206</v>
      </c>
      <c r="B27" s="243"/>
      <c r="C27" s="152"/>
      <c r="E27" s="152"/>
      <c r="F27" s="152"/>
      <c r="G27" s="152"/>
      <c r="H27" s="152"/>
      <c r="I27" s="152"/>
      <c r="J27" s="80"/>
      <c r="K27" s="80"/>
      <c r="L27" s="80"/>
      <c r="M27" s="80"/>
      <c r="N27" s="80"/>
      <c r="O27" s="152"/>
      <c r="P27" s="80"/>
      <c r="Q27" s="80"/>
      <c r="R27" s="85"/>
      <c r="S27" s="85"/>
      <c r="T27" s="85"/>
      <c r="U27" s="85"/>
      <c r="V27" s="85"/>
      <c r="W27" s="85"/>
      <c r="X27" s="85"/>
    </row>
    <row r="28" spans="1:24" x14ac:dyDescent="0.35">
      <c r="A28" s="237" t="s">
        <v>200</v>
      </c>
      <c r="B28" s="165" t="s">
        <v>67</v>
      </c>
      <c r="C28" s="230">
        <v>8382128.4453800004</v>
      </c>
      <c r="E28" s="230">
        <v>6044867.0840500006</v>
      </c>
      <c r="F28" s="230">
        <v>9736658.6019299999</v>
      </c>
      <c r="G28" s="230">
        <v>2675281.4478800003</v>
      </c>
      <c r="H28" s="230">
        <v>16601.946240000001</v>
      </c>
      <c r="I28" s="230">
        <v>34670.702740000001</v>
      </c>
      <c r="J28" s="80"/>
      <c r="K28" s="80"/>
      <c r="L28" s="80"/>
      <c r="M28" s="80"/>
      <c r="N28" s="80"/>
      <c r="O28" s="230">
        <v>26890208.228220001</v>
      </c>
      <c r="P28" s="80"/>
      <c r="Q28" s="80"/>
      <c r="R28" s="85"/>
      <c r="S28" s="85"/>
      <c r="T28" s="85"/>
      <c r="U28" s="85"/>
      <c r="V28" s="85"/>
      <c r="W28" s="85"/>
      <c r="X28" s="85"/>
    </row>
    <row r="29" spans="1:24" x14ac:dyDescent="0.35">
      <c r="A29" s="237" t="s">
        <v>201</v>
      </c>
      <c r="B29" s="165" t="s">
        <v>69</v>
      </c>
      <c r="C29" s="230">
        <v>911792.47349999996</v>
      </c>
      <c r="E29" s="230">
        <v>91396.806209999995</v>
      </c>
      <c r="F29" s="230">
        <v>9401.5149299999994</v>
      </c>
      <c r="G29" s="230">
        <v>77939.264190000002</v>
      </c>
      <c r="H29" s="230">
        <v>-886.86037999999996</v>
      </c>
      <c r="I29" s="230"/>
      <c r="J29" s="80"/>
      <c r="K29" s="80"/>
      <c r="L29" s="80"/>
      <c r="M29" s="80"/>
      <c r="N29" s="80"/>
      <c r="O29" s="230">
        <v>1089643.19845</v>
      </c>
      <c r="P29" s="80"/>
      <c r="Q29" s="80"/>
      <c r="R29" s="85"/>
      <c r="S29" s="85"/>
      <c r="T29" s="85"/>
      <c r="U29" s="85"/>
      <c r="V29" s="85"/>
      <c r="W29" s="85"/>
      <c r="X29" s="85"/>
    </row>
    <row r="30" spans="1:24" ht="15" customHeight="1" x14ac:dyDescent="0.35">
      <c r="A30" s="237" t="s">
        <v>202</v>
      </c>
      <c r="B30" s="165" t="s">
        <v>71</v>
      </c>
      <c r="C30" s="230"/>
      <c r="E30" s="230"/>
      <c r="F30" s="230"/>
      <c r="G30" s="230"/>
      <c r="H30" s="230"/>
      <c r="I30" s="230"/>
      <c r="J30" s="80"/>
      <c r="K30" s="80"/>
      <c r="L30" s="80"/>
      <c r="M30" s="80"/>
      <c r="N30" s="80"/>
      <c r="O30" s="230"/>
      <c r="P30" s="80"/>
      <c r="Q30" s="80"/>
      <c r="R30" s="85"/>
      <c r="S30" s="85"/>
      <c r="T30" s="85"/>
      <c r="U30" s="85"/>
      <c r="V30" s="85"/>
      <c r="W30" s="85"/>
      <c r="X30" s="85"/>
    </row>
    <row r="31" spans="1:24" x14ac:dyDescent="0.35">
      <c r="A31" s="237" t="s">
        <v>203</v>
      </c>
      <c r="B31" s="165" t="s">
        <v>73</v>
      </c>
      <c r="C31" s="230">
        <v>435148.18148000003</v>
      </c>
      <c r="E31" s="230">
        <v>336789.17358</v>
      </c>
      <c r="F31" s="230">
        <v>63767.885900000001</v>
      </c>
      <c r="G31" s="230">
        <v>106200.85944</v>
      </c>
      <c r="H31" s="230">
        <v>-1164.9486499999998</v>
      </c>
      <c r="I31" s="230">
        <v>8535.0844699999998</v>
      </c>
      <c r="J31" s="80"/>
      <c r="K31" s="80"/>
      <c r="L31" s="80"/>
      <c r="M31" s="80"/>
      <c r="N31" s="80"/>
      <c r="O31" s="230">
        <v>949276.23622000008</v>
      </c>
      <c r="P31" s="80"/>
      <c r="Q31" s="80"/>
      <c r="R31" s="85"/>
      <c r="S31" s="85"/>
      <c r="T31" s="85"/>
      <c r="U31" s="85"/>
      <c r="V31" s="85"/>
      <c r="W31" s="85"/>
      <c r="X31" s="85"/>
    </row>
    <row r="32" spans="1:24" x14ac:dyDescent="0.35">
      <c r="A32" s="237" t="s">
        <v>204</v>
      </c>
      <c r="B32" s="165" t="s">
        <v>85</v>
      </c>
      <c r="C32" s="230">
        <v>8858772.7373999991</v>
      </c>
      <c r="E32" s="230">
        <v>5799474.7166800005</v>
      </c>
      <c r="F32" s="230">
        <v>9682292.2309599984</v>
      </c>
      <c r="G32" s="230">
        <v>2647019.8526300001</v>
      </c>
      <c r="H32" s="230">
        <v>16880.034510000001</v>
      </c>
      <c r="I32" s="230">
        <v>26135.618269999999</v>
      </c>
      <c r="J32" s="80"/>
      <c r="K32" s="80"/>
      <c r="L32" s="80"/>
      <c r="M32" s="80"/>
      <c r="N32" s="80"/>
      <c r="O32" s="230">
        <v>27030575.190450002</v>
      </c>
      <c r="P32" s="80"/>
      <c r="Q32" s="80"/>
      <c r="R32" s="85"/>
      <c r="S32" s="85"/>
      <c r="T32" s="85"/>
      <c r="U32" s="85"/>
      <c r="V32" s="85"/>
      <c r="W32" s="85"/>
      <c r="X32" s="85"/>
    </row>
    <row r="33" spans="1:25" x14ac:dyDescent="0.35">
      <c r="A33" s="241" t="s">
        <v>207</v>
      </c>
      <c r="B33" s="243"/>
      <c r="C33" s="152"/>
      <c r="E33" s="152"/>
      <c r="F33" s="152"/>
      <c r="G33" s="152"/>
      <c r="H33" s="152"/>
      <c r="I33" s="152"/>
      <c r="J33" s="80"/>
      <c r="K33" s="80"/>
      <c r="L33" s="80"/>
      <c r="M33" s="80"/>
      <c r="N33" s="80"/>
      <c r="O33" s="152"/>
      <c r="P33" s="80"/>
      <c r="Q33" s="80"/>
      <c r="R33" s="85"/>
      <c r="S33" s="85"/>
      <c r="T33" s="85"/>
      <c r="U33" s="85"/>
      <c r="V33" s="85"/>
      <c r="W33" s="85"/>
      <c r="X33" s="85"/>
    </row>
    <row r="34" spans="1:25" x14ac:dyDescent="0.35">
      <c r="A34" s="237" t="s">
        <v>200</v>
      </c>
      <c r="B34" s="165" t="s">
        <v>87</v>
      </c>
      <c r="C34" s="230"/>
      <c r="E34" s="230"/>
      <c r="F34" s="230"/>
      <c r="G34" s="230"/>
      <c r="H34" s="230"/>
      <c r="I34" s="230"/>
      <c r="J34" s="80"/>
      <c r="K34" s="80"/>
      <c r="L34" s="80"/>
      <c r="M34" s="80"/>
      <c r="N34" s="80"/>
      <c r="O34" s="230"/>
      <c r="P34" s="80"/>
      <c r="Q34" s="80"/>
      <c r="R34" s="85"/>
      <c r="S34" s="85"/>
      <c r="T34" s="85"/>
      <c r="U34" s="85"/>
      <c r="V34" s="85"/>
      <c r="W34" s="85"/>
      <c r="X34" s="85"/>
    </row>
    <row r="35" spans="1:25" x14ac:dyDescent="0.35">
      <c r="A35" s="237" t="s">
        <v>201</v>
      </c>
      <c r="B35" s="165" t="s">
        <v>89</v>
      </c>
      <c r="C35" s="230"/>
      <c r="E35" s="230"/>
      <c r="F35" s="230"/>
      <c r="G35" s="230"/>
      <c r="H35" s="230"/>
      <c r="I35" s="230"/>
      <c r="J35" s="80"/>
      <c r="K35" s="80"/>
      <c r="L35" s="80"/>
      <c r="M35" s="80"/>
      <c r="N35" s="80"/>
      <c r="O35" s="230"/>
      <c r="P35" s="80"/>
      <c r="Q35" s="80"/>
      <c r="R35" s="85"/>
      <c r="S35" s="85"/>
      <c r="T35" s="85"/>
      <c r="U35" s="85"/>
      <c r="V35" s="85"/>
      <c r="W35" s="85"/>
      <c r="X35" s="85"/>
    </row>
    <row r="36" spans="1:25" ht="17.25" customHeight="1" x14ac:dyDescent="0.35">
      <c r="A36" s="237" t="s">
        <v>202</v>
      </c>
      <c r="B36" s="165" t="s">
        <v>208</v>
      </c>
      <c r="C36" s="230"/>
      <c r="E36" s="230"/>
      <c r="F36" s="230"/>
      <c r="G36" s="230"/>
      <c r="H36" s="230"/>
      <c r="I36" s="230"/>
      <c r="J36" s="80"/>
      <c r="K36" s="80"/>
      <c r="L36" s="80"/>
      <c r="M36" s="80"/>
      <c r="N36" s="80"/>
      <c r="O36" s="230"/>
      <c r="P36" s="80"/>
      <c r="Q36" s="80"/>
      <c r="R36" s="85"/>
      <c r="S36" s="85"/>
      <c r="T36" s="85"/>
      <c r="U36" s="85"/>
      <c r="V36" s="85"/>
      <c r="W36" s="85"/>
      <c r="X36" s="85"/>
    </row>
    <row r="37" spans="1:25" x14ac:dyDescent="0.35">
      <c r="A37" s="237" t="s">
        <v>203</v>
      </c>
      <c r="B37" s="165" t="s">
        <v>209</v>
      </c>
      <c r="C37" s="230"/>
      <c r="E37" s="230"/>
      <c r="F37" s="230"/>
      <c r="G37" s="230"/>
      <c r="H37" s="230"/>
      <c r="I37" s="230"/>
      <c r="J37" s="80"/>
      <c r="K37" s="80"/>
      <c r="L37" s="80"/>
      <c r="M37" s="80"/>
      <c r="N37" s="80"/>
      <c r="O37" s="230"/>
      <c r="P37" s="80"/>
      <c r="Q37" s="80"/>
      <c r="R37" s="85"/>
      <c r="S37" s="85"/>
      <c r="T37" s="85"/>
      <c r="U37" s="85"/>
      <c r="V37" s="85"/>
      <c r="W37" s="85"/>
      <c r="X37" s="85"/>
    </row>
    <row r="38" spans="1:25" x14ac:dyDescent="0.35">
      <c r="A38" s="237" t="s">
        <v>204</v>
      </c>
      <c r="B38" s="165" t="s">
        <v>91</v>
      </c>
      <c r="C38" s="230"/>
      <c r="E38" s="230"/>
      <c r="F38" s="230"/>
      <c r="G38" s="230"/>
      <c r="H38" s="230"/>
      <c r="I38" s="230"/>
      <c r="J38" s="80"/>
      <c r="K38" s="80"/>
      <c r="L38" s="80"/>
      <c r="M38" s="80"/>
      <c r="N38" s="80"/>
      <c r="O38" s="230"/>
      <c r="P38" s="80"/>
      <c r="Q38" s="80"/>
      <c r="R38" s="85"/>
      <c r="S38" s="85"/>
      <c r="T38" s="85"/>
      <c r="U38" s="85"/>
      <c r="V38" s="85"/>
      <c r="W38" s="85"/>
      <c r="X38" s="85"/>
    </row>
    <row r="39" spans="1:25" x14ac:dyDescent="0.35">
      <c r="A39" s="241" t="s">
        <v>210</v>
      </c>
      <c r="B39" s="165" t="s">
        <v>102</v>
      </c>
      <c r="C39" s="230">
        <v>2971308.5000700001</v>
      </c>
      <c r="E39" s="230">
        <v>2183744.5070400001</v>
      </c>
      <c r="F39" s="230">
        <v>3069672.3797499998</v>
      </c>
      <c r="G39" s="230">
        <v>1213753.5397000001</v>
      </c>
      <c r="H39" s="230">
        <v>13205.94816</v>
      </c>
      <c r="I39" s="230">
        <v>21054.775519999999</v>
      </c>
      <c r="J39" s="80"/>
      <c r="K39" s="80"/>
      <c r="L39" s="80"/>
      <c r="M39" s="80"/>
      <c r="N39" s="80"/>
      <c r="O39" s="230">
        <v>9472739.6502400003</v>
      </c>
      <c r="P39" s="80"/>
      <c r="Q39" s="80"/>
      <c r="R39" s="85"/>
      <c r="S39" s="85"/>
      <c r="T39" s="85"/>
      <c r="U39" s="85"/>
      <c r="V39" s="85"/>
      <c r="W39" s="85"/>
      <c r="X39" s="85"/>
    </row>
    <row r="40" spans="1:25" x14ac:dyDescent="0.35">
      <c r="A40" s="241" t="s">
        <v>211</v>
      </c>
      <c r="B40" s="165" t="s">
        <v>212</v>
      </c>
      <c r="C40" s="152"/>
      <c r="E40" s="152"/>
      <c r="F40" s="152"/>
      <c r="G40" s="152"/>
      <c r="H40" s="152"/>
      <c r="I40" s="152"/>
      <c r="J40" s="80"/>
      <c r="K40" s="80"/>
      <c r="L40" s="80"/>
      <c r="M40" s="80"/>
      <c r="N40" s="80"/>
      <c r="O40" s="230">
        <v>91354.609060000003</v>
      </c>
      <c r="P40" s="80"/>
      <c r="Q40" s="80"/>
      <c r="R40" s="85"/>
      <c r="S40" s="85"/>
      <c r="T40" s="85"/>
      <c r="U40" s="85"/>
      <c r="V40" s="85"/>
      <c r="W40" s="85"/>
      <c r="X40" s="85"/>
    </row>
    <row r="41" spans="1:25" x14ac:dyDescent="0.35">
      <c r="A41" s="241" t="s">
        <v>213</v>
      </c>
      <c r="B41" s="165" t="s">
        <v>214</v>
      </c>
      <c r="C41" s="152"/>
      <c r="E41" s="152"/>
      <c r="F41" s="152"/>
      <c r="G41" s="152"/>
      <c r="H41" s="152"/>
      <c r="I41" s="152"/>
      <c r="J41" s="80"/>
      <c r="K41" s="80"/>
      <c r="L41" s="80"/>
      <c r="M41" s="80"/>
      <c r="N41" s="80"/>
      <c r="O41" s="244">
        <v>9564094.2592999991</v>
      </c>
      <c r="P41" s="80"/>
      <c r="Q41" s="80"/>
      <c r="R41" s="85"/>
      <c r="S41" s="85"/>
      <c r="T41" s="85"/>
      <c r="U41" s="85"/>
      <c r="V41" s="85"/>
      <c r="W41" s="85"/>
      <c r="X41" s="85"/>
    </row>
    <row r="42" spans="1:25" x14ac:dyDescent="0.35">
      <c r="E42" s="80"/>
      <c r="F42" s="80"/>
      <c r="G42" s="80"/>
      <c r="H42" s="80"/>
      <c r="I42" s="80"/>
      <c r="J42" s="80"/>
      <c r="K42" s="80"/>
      <c r="L42" s="80"/>
      <c r="M42" s="80"/>
      <c r="N42" s="80"/>
      <c r="O42" s="80"/>
      <c r="P42" s="80"/>
      <c r="Q42" s="80"/>
      <c r="R42" s="80"/>
      <c r="S42" s="80"/>
      <c r="T42" s="80"/>
      <c r="U42" s="80"/>
      <c r="V42" s="80"/>
      <c r="W42" s="80"/>
      <c r="X42" s="80"/>
    </row>
    <row r="43" spans="1:25" x14ac:dyDescent="0.35">
      <c r="C43" s="80"/>
      <c r="E43" s="80"/>
      <c r="F43" s="80"/>
      <c r="G43" s="80"/>
      <c r="H43" s="80"/>
      <c r="I43" s="80"/>
      <c r="J43" s="80"/>
      <c r="K43" s="80"/>
      <c r="L43" s="80"/>
      <c r="M43" s="80"/>
      <c r="N43" s="80"/>
      <c r="O43" s="80"/>
      <c r="P43" s="80"/>
      <c r="Q43" s="80"/>
      <c r="R43" s="80"/>
      <c r="S43" s="80"/>
      <c r="T43" s="80"/>
      <c r="U43" s="80"/>
      <c r="V43" s="80"/>
      <c r="W43" s="80"/>
      <c r="X43" s="80"/>
    </row>
    <row r="44" spans="1:25" x14ac:dyDescent="0.35">
      <c r="C44" s="80"/>
      <c r="E44" s="80"/>
      <c r="F44" s="80"/>
      <c r="G44" s="80"/>
      <c r="H44" s="80"/>
      <c r="I44" s="80"/>
      <c r="J44" s="80"/>
      <c r="K44" s="80"/>
      <c r="L44" s="80"/>
      <c r="M44" s="80"/>
      <c r="N44" s="80"/>
      <c r="P44" s="80"/>
      <c r="Q44" s="80"/>
      <c r="R44" s="80"/>
      <c r="S44" s="80"/>
      <c r="T44" s="80"/>
      <c r="U44" s="80"/>
      <c r="V44" s="80"/>
      <c r="W44" s="80"/>
      <c r="X44" s="80"/>
    </row>
    <row r="47" spans="1:25" x14ac:dyDescent="0.35">
      <c r="A47" s="63" t="s">
        <v>267</v>
      </c>
      <c r="E47" s="63" t="s">
        <v>268</v>
      </c>
      <c r="F47" s="63"/>
      <c r="G47" s="63"/>
      <c r="H47" s="63"/>
      <c r="I47" s="63"/>
      <c r="O47" s="63" t="s">
        <v>269</v>
      </c>
    </row>
    <row r="48" spans="1:25" x14ac:dyDescent="0.35">
      <c r="W48" s="70"/>
      <c r="Y48" s="70"/>
    </row>
    <row r="54" spans="1:24" x14ac:dyDescent="0.35">
      <c r="A54" s="65" t="s">
        <v>270</v>
      </c>
      <c r="B54" s="78"/>
      <c r="C54" s="78"/>
      <c r="E54" s="65" t="s">
        <v>271</v>
      </c>
      <c r="F54" s="65"/>
      <c r="G54" s="65"/>
      <c r="H54" s="65"/>
      <c r="I54" s="65"/>
      <c r="O54" s="65" t="s">
        <v>272</v>
      </c>
    </row>
    <row r="55" spans="1:24" x14ac:dyDescent="0.35">
      <c r="J55" s="80"/>
      <c r="K55" s="80"/>
      <c r="L55" s="80"/>
      <c r="M55" s="80"/>
      <c r="N55" s="80"/>
      <c r="P55" s="80"/>
      <c r="Q55" s="80"/>
      <c r="R55" s="80"/>
      <c r="S55" s="80"/>
      <c r="T55" s="80"/>
      <c r="U55" s="80"/>
      <c r="V55" s="80"/>
      <c r="W55" s="80"/>
      <c r="X55" s="80"/>
    </row>
    <row r="56" spans="1:24" ht="45" customHeight="1" x14ac:dyDescent="0.35">
      <c r="C56" s="165" t="s">
        <v>260</v>
      </c>
      <c r="E56" s="165" t="s">
        <v>261</v>
      </c>
      <c r="F56" s="165" t="s">
        <v>262</v>
      </c>
      <c r="G56" s="165" t="s">
        <v>263</v>
      </c>
      <c r="H56" s="165" t="s">
        <v>264</v>
      </c>
      <c r="I56" s="165" t="s">
        <v>265</v>
      </c>
      <c r="L56" s="80"/>
      <c r="M56" s="80"/>
      <c r="N56" s="92"/>
      <c r="O56" s="245" t="s">
        <v>266</v>
      </c>
      <c r="P56" s="80"/>
      <c r="Q56" s="80"/>
      <c r="R56" s="80"/>
      <c r="S56" s="80"/>
      <c r="T56" s="80"/>
      <c r="U56" s="80"/>
      <c r="V56" s="80"/>
      <c r="W56" s="80"/>
    </row>
    <row r="57" spans="1:24" x14ac:dyDescent="0.35">
      <c r="C57" s="243" t="s">
        <v>228</v>
      </c>
      <c r="E57" s="243" t="s">
        <v>190</v>
      </c>
      <c r="F57" s="243" t="s">
        <v>191</v>
      </c>
      <c r="G57" s="243" t="s">
        <v>192</v>
      </c>
      <c r="H57" s="243" t="s">
        <v>193</v>
      </c>
      <c r="I57" s="243" t="s">
        <v>194</v>
      </c>
      <c r="J57" s="80"/>
      <c r="K57" s="80"/>
      <c r="L57" s="80"/>
      <c r="M57" s="80"/>
      <c r="N57" s="80"/>
      <c r="O57" s="243" t="s">
        <v>234</v>
      </c>
      <c r="P57" s="80"/>
      <c r="Q57" s="80"/>
      <c r="R57" s="80"/>
      <c r="S57" s="80"/>
      <c r="T57" s="80"/>
      <c r="U57" s="80"/>
      <c r="V57" s="80"/>
      <c r="W57" s="86"/>
      <c r="X57" s="80"/>
    </row>
    <row r="58" spans="1:24" x14ac:dyDescent="0.35">
      <c r="A58" s="241" t="s">
        <v>199</v>
      </c>
      <c r="B58" s="243"/>
      <c r="C58" s="152"/>
      <c r="E58" s="152"/>
      <c r="F58" s="152"/>
      <c r="G58" s="152"/>
      <c r="H58" s="152"/>
      <c r="I58" s="152"/>
      <c r="J58" s="80"/>
      <c r="K58" s="80"/>
      <c r="L58" s="80"/>
      <c r="M58" s="80"/>
      <c r="N58" s="80"/>
      <c r="O58" s="152"/>
      <c r="P58" s="80"/>
      <c r="Q58" s="80"/>
      <c r="R58" s="80"/>
      <c r="S58" s="80"/>
      <c r="T58" s="80"/>
      <c r="U58" s="80"/>
      <c r="V58" s="80"/>
      <c r="W58" s="86"/>
      <c r="X58" s="80"/>
    </row>
    <row r="59" spans="1:24" x14ac:dyDescent="0.35">
      <c r="A59" s="237" t="s">
        <v>236</v>
      </c>
      <c r="B59" s="165" t="s">
        <v>237</v>
      </c>
      <c r="C59" s="246"/>
      <c r="E59" s="246"/>
      <c r="F59" s="246"/>
      <c r="G59" s="246"/>
      <c r="H59" s="246"/>
      <c r="I59" s="246"/>
      <c r="J59" s="80"/>
      <c r="K59" s="80"/>
      <c r="L59" s="80"/>
      <c r="M59" s="80"/>
      <c r="N59" s="80"/>
      <c r="O59" s="247"/>
      <c r="P59" s="80"/>
      <c r="Q59" s="85"/>
      <c r="R59" s="85"/>
      <c r="S59" s="85"/>
      <c r="T59" s="85"/>
      <c r="U59" s="85"/>
      <c r="V59" s="85"/>
      <c r="W59" s="85"/>
      <c r="X59" s="80"/>
    </row>
    <row r="60" spans="1:24" x14ac:dyDescent="0.35">
      <c r="A60" s="237" t="s">
        <v>203</v>
      </c>
      <c r="B60" s="165" t="s">
        <v>238</v>
      </c>
      <c r="C60" s="246"/>
      <c r="E60" s="246"/>
      <c r="F60" s="246"/>
      <c r="G60" s="246"/>
      <c r="H60" s="246"/>
      <c r="I60" s="246"/>
      <c r="J60" s="80"/>
      <c r="K60" s="80"/>
      <c r="L60" s="80"/>
      <c r="M60" s="80"/>
      <c r="N60" s="80"/>
      <c r="O60" s="247"/>
      <c r="P60" s="80"/>
      <c r="Q60" s="85"/>
      <c r="R60" s="85"/>
      <c r="S60" s="85"/>
      <c r="T60" s="85"/>
      <c r="U60" s="85"/>
      <c r="V60" s="85"/>
      <c r="W60" s="85"/>
      <c r="X60" s="80"/>
    </row>
    <row r="61" spans="1:24" x14ac:dyDescent="0.35">
      <c r="A61" s="237" t="s">
        <v>204</v>
      </c>
      <c r="B61" s="165" t="s">
        <v>239</v>
      </c>
      <c r="C61" s="246"/>
      <c r="E61" s="246"/>
      <c r="F61" s="246"/>
      <c r="G61" s="246"/>
      <c r="H61" s="246"/>
      <c r="I61" s="246"/>
      <c r="J61" s="80"/>
      <c r="K61" s="80"/>
      <c r="L61" s="80"/>
      <c r="M61" s="80"/>
      <c r="N61" s="80"/>
      <c r="O61" s="247"/>
      <c r="P61" s="80"/>
      <c r="Q61" s="85"/>
      <c r="R61" s="85"/>
      <c r="S61" s="85"/>
      <c r="T61" s="85"/>
      <c r="U61" s="85"/>
      <c r="V61" s="85"/>
      <c r="W61" s="85"/>
      <c r="X61" s="80"/>
    </row>
    <row r="62" spans="1:24" x14ac:dyDescent="0.35">
      <c r="A62" s="241" t="s">
        <v>205</v>
      </c>
      <c r="B62" s="243"/>
      <c r="C62" s="152"/>
      <c r="E62" s="152"/>
      <c r="F62" s="152"/>
      <c r="G62" s="152"/>
      <c r="H62" s="152"/>
      <c r="I62" s="152"/>
      <c r="J62" s="80"/>
      <c r="K62" s="80"/>
      <c r="L62" s="80"/>
      <c r="M62" s="80"/>
      <c r="N62" s="80"/>
      <c r="O62" s="152"/>
      <c r="P62" s="80"/>
      <c r="Q62" s="85"/>
      <c r="R62" s="85"/>
      <c r="S62" s="85"/>
      <c r="T62" s="85"/>
      <c r="U62" s="85"/>
      <c r="V62" s="85"/>
      <c r="W62" s="85"/>
      <c r="X62" s="80"/>
    </row>
    <row r="63" spans="1:24" x14ac:dyDescent="0.35">
      <c r="A63" s="237" t="s">
        <v>236</v>
      </c>
      <c r="B63" s="165" t="s">
        <v>240</v>
      </c>
      <c r="C63" s="246"/>
      <c r="E63" s="246"/>
      <c r="F63" s="246"/>
      <c r="G63" s="246"/>
      <c r="H63" s="246"/>
      <c r="I63" s="246"/>
      <c r="J63" s="80"/>
      <c r="K63" s="80"/>
      <c r="L63" s="80"/>
      <c r="M63" s="80"/>
      <c r="N63" s="80"/>
      <c r="O63" s="246"/>
      <c r="P63" s="80"/>
      <c r="Q63" s="85"/>
      <c r="R63" s="85"/>
      <c r="S63" s="85"/>
      <c r="T63" s="85"/>
      <c r="U63" s="85"/>
      <c r="V63" s="85"/>
      <c r="W63" s="85"/>
      <c r="X63" s="80"/>
    </row>
    <row r="64" spans="1:24" x14ac:dyDescent="0.35">
      <c r="A64" s="237" t="s">
        <v>203</v>
      </c>
      <c r="B64" s="165" t="s">
        <v>241</v>
      </c>
      <c r="C64" s="246"/>
      <c r="E64" s="246"/>
      <c r="F64" s="246"/>
      <c r="G64" s="246"/>
      <c r="H64" s="246"/>
      <c r="I64" s="246"/>
      <c r="J64" s="80"/>
      <c r="K64" s="80"/>
      <c r="L64" s="80"/>
      <c r="M64" s="80"/>
      <c r="N64" s="80"/>
      <c r="O64" s="246"/>
      <c r="P64" s="80"/>
      <c r="Q64" s="85"/>
      <c r="R64" s="85"/>
      <c r="S64" s="85"/>
      <c r="T64" s="85"/>
      <c r="U64" s="85"/>
      <c r="V64" s="85"/>
      <c r="W64" s="85"/>
      <c r="X64" s="80"/>
    </row>
    <row r="65" spans="1:24" x14ac:dyDescent="0.35">
      <c r="A65" s="237" t="s">
        <v>204</v>
      </c>
      <c r="B65" s="165" t="s">
        <v>242</v>
      </c>
      <c r="C65" s="246"/>
      <c r="E65" s="246"/>
      <c r="F65" s="246"/>
      <c r="G65" s="246"/>
      <c r="H65" s="246"/>
      <c r="I65" s="246"/>
      <c r="J65" s="80"/>
      <c r="K65" s="80"/>
      <c r="L65" s="80"/>
      <c r="M65" s="80"/>
      <c r="N65" s="80"/>
      <c r="O65" s="246"/>
      <c r="P65" s="80"/>
      <c r="Q65" s="85"/>
      <c r="R65" s="85"/>
      <c r="S65" s="85"/>
      <c r="T65" s="85"/>
      <c r="U65" s="85"/>
      <c r="V65" s="85"/>
      <c r="W65" s="85"/>
      <c r="X65" s="80"/>
    </row>
    <row r="66" spans="1:24" x14ac:dyDescent="0.35">
      <c r="A66" s="241" t="s">
        <v>206</v>
      </c>
      <c r="B66" s="243"/>
      <c r="C66" s="152"/>
      <c r="E66" s="152"/>
      <c r="F66" s="152"/>
      <c r="G66" s="152"/>
      <c r="H66" s="152"/>
      <c r="I66" s="152"/>
      <c r="J66" s="80"/>
      <c r="K66" s="80"/>
      <c r="L66" s="80"/>
      <c r="M66" s="80"/>
      <c r="N66" s="80"/>
      <c r="O66" s="152"/>
      <c r="P66" s="80"/>
      <c r="Q66" s="85"/>
      <c r="R66" s="85"/>
      <c r="S66" s="85"/>
      <c r="T66" s="85"/>
      <c r="U66" s="85"/>
      <c r="V66" s="85"/>
      <c r="W66" s="85"/>
      <c r="X66" s="80"/>
    </row>
    <row r="67" spans="1:24" x14ac:dyDescent="0.35">
      <c r="A67" s="237" t="s">
        <v>236</v>
      </c>
      <c r="B67" s="165" t="s">
        <v>243</v>
      </c>
      <c r="C67" s="230">
        <v>208685.39068000001</v>
      </c>
      <c r="E67" s="230">
        <v>665925.84633000009</v>
      </c>
      <c r="F67" s="230">
        <v>72818.95809</v>
      </c>
      <c r="G67" s="230">
        <v>256702.07222</v>
      </c>
      <c r="H67" s="246"/>
      <c r="I67" s="246"/>
      <c r="J67" s="80"/>
      <c r="K67" s="80"/>
      <c r="L67" s="80"/>
      <c r="M67" s="80"/>
      <c r="N67" s="80"/>
      <c r="O67" s="230">
        <v>1204132.2673199999</v>
      </c>
      <c r="P67" s="80"/>
      <c r="Q67" s="85"/>
      <c r="R67" s="85"/>
      <c r="S67" s="85"/>
      <c r="T67" s="85"/>
      <c r="U67" s="85"/>
      <c r="V67" s="85"/>
      <c r="W67" s="85"/>
      <c r="X67" s="80"/>
    </row>
    <row r="68" spans="1:24" x14ac:dyDescent="0.35">
      <c r="A68" s="237" t="s">
        <v>203</v>
      </c>
      <c r="B68" s="165" t="s">
        <v>244</v>
      </c>
      <c r="C68" s="230"/>
      <c r="E68" s="230"/>
      <c r="F68" s="230"/>
      <c r="G68" s="230"/>
      <c r="H68" s="246"/>
      <c r="I68" s="246"/>
      <c r="J68" s="80"/>
      <c r="K68" s="80"/>
      <c r="L68" s="80"/>
      <c r="M68" s="80"/>
      <c r="N68" s="80"/>
      <c r="O68" s="230"/>
      <c r="P68" s="80"/>
      <c r="Q68" s="85"/>
      <c r="R68" s="85"/>
      <c r="S68" s="85"/>
      <c r="T68" s="85"/>
      <c r="U68" s="85"/>
      <c r="V68" s="85"/>
      <c r="W68" s="85"/>
      <c r="X68" s="80"/>
    </row>
    <row r="69" spans="1:24" x14ac:dyDescent="0.35">
      <c r="A69" s="237" t="s">
        <v>204</v>
      </c>
      <c r="B69" s="165" t="s">
        <v>245</v>
      </c>
      <c r="C69" s="230">
        <v>208685.39068000001</v>
      </c>
      <c r="E69" s="230">
        <v>665925.84633000009</v>
      </c>
      <c r="F69" s="230">
        <v>72818.95809</v>
      </c>
      <c r="G69" s="230">
        <v>256702.07222</v>
      </c>
      <c r="H69" s="246"/>
      <c r="I69" s="246"/>
      <c r="J69" s="80"/>
      <c r="K69" s="80"/>
      <c r="L69" s="80"/>
      <c r="M69" s="80"/>
      <c r="N69" s="80"/>
      <c r="O69" s="230">
        <v>1204132.2673199999</v>
      </c>
      <c r="P69" s="80"/>
      <c r="Q69" s="85"/>
      <c r="R69" s="85"/>
      <c r="S69" s="85"/>
      <c r="T69" s="85"/>
      <c r="U69" s="85"/>
      <c r="V69" s="85"/>
      <c r="W69" s="85"/>
      <c r="X69" s="80"/>
    </row>
    <row r="70" spans="1:24" x14ac:dyDescent="0.35">
      <c r="A70" s="241" t="s">
        <v>207</v>
      </c>
      <c r="B70" s="243"/>
      <c r="C70" s="152"/>
      <c r="E70" s="152"/>
      <c r="F70" s="152"/>
      <c r="G70" s="152"/>
      <c r="H70" s="152"/>
      <c r="I70" s="152"/>
      <c r="J70" s="80"/>
      <c r="K70" s="80"/>
      <c r="L70" s="80"/>
      <c r="M70" s="80"/>
      <c r="N70" s="80"/>
      <c r="O70" s="152"/>
      <c r="P70" s="80"/>
      <c r="Q70" s="85"/>
      <c r="R70" s="85"/>
      <c r="S70" s="85"/>
      <c r="T70" s="85"/>
      <c r="U70" s="85"/>
      <c r="V70" s="85"/>
      <c r="W70" s="85"/>
      <c r="X70" s="80"/>
    </row>
    <row r="71" spans="1:24" x14ac:dyDescent="0.35">
      <c r="A71" s="237" t="s">
        <v>236</v>
      </c>
      <c r="B71" s="165" t="s">
        <v>246</v>
      </c>
      <c r="C71" s="246"/>
      <c r="E71" s="246"/>
      <c r="F71" s="246"/>
      <c r="G71" s="246"/>
      <c r="H71" s="246"/>
      <c r="I71" s="246"/>
      <c r="J71" s="80"/>
      <c r="K71" s="80"/>
      <c r="L71" s="80"/>
      <c r="M71" s="80"/>
      <c r="N71" s="80"/>
      <c r="O71" s="247"/>
      <c r="P71" s="80"/>
      <c r="Q71" s="85"/>
      <c r="R71" s="85"/>
      <c r="S71" s="85"/>
      <c r="T71" s="85"/>
      <c r="U71" s="85"/>
      <c r="V71" s="85"/>
      <c r="W71" s="90"/>
      <c r="X71" s="89"/>
    </row>
    <row r="72" spans="1:24" x14ac:dyDescent="0.35">
      <c r="A72" s="237" t="s">
        <v>203</v>
      </c>
      <c r="B72" s="165" t="s">
        <v>247</v>
      </c>
      <c r="C72" s="246"/>
      <c r="E72" s="246"/>
      <c r="F72" s="246"/>
      <c r="G72" s="246"/>
      <c r="H72" s="246"/>
      <c r="I72" s="246"/>
      <c r="J72" s="80"/>
      <c r="K72" s="80"/>
      <c r="L72" s="80"/>
      <c r="M72" s="80"/>
      <c r="N72" s="80"/>
      <c r="O72" s="247"/>
      <c r="P72" s="80"/>
      <c r="Q72" s="85"/>
      <c r="R72" s="85"/>
      <c r="S72" s="85"/>
      <c r="T72" s="85"/>
      <c r="U72" s="85"/>
      <c r="V72" s="85"/>
      <c r="W72" s="90"/>
      <c r="X72" s="89"/>
    </row>
    <row r="73" spans="1:24" x14ac:dyDescent="0.35">
      <c r="A73" s="237" t="s">
        <v>204</v>
      </c>
      <c r="B73" s="165" t="s">
        <v>248</v>
      </c>
      <c r="C73" s="246"/>
      <c r="E73" s="246"/>
      <c r="F73" s="246"/>
      <c r="G73" s="246"/>
      <c r="H73" s="246"/>
      <c r="I73" s="246"/>
      <c r="J73" s="80"/>
      <c r="K73" s="80"/>
      <c r="L73" s="80"/>
      <c r="M73" s="80"/>
      <c r="N73" s="80"/>
      <c r="O73" s="247"/>
      <c r="P73" s="80"/>
      <c r="Q73" s="85"/>
      <c r="R73" s="85"/>
      <c r="S73" s="85"/>
      <c r="T73" s="85"/>
      <c r="U73" s="85"/>
      <c r="V73" s="85"/>
      <c r="W73" s="90"/>
      <c r="X73" s="89"/>
    </row>
    <row r="74" spans="1:24" x14ac:dyDescent="0.35">
      <c r="A74" s="241" t="s">
        <v>210</v>
      </c>
      <c r="B74" s="165" t="s">
        <v>249</v>
      </c>
      <c r="C74" s="246"/>
      <c r="E74" s="246"/>
      <c r="F74" s="246"/>
      <c r="G74" s="246"/>
      <c r="H74" s="246"/>
      <c r="I74" s="246"/>
      <c r="J74" s="80"/>
      <c r="K74" s="80"/>
      <c r="L74" s="80"/>
      <c r="M74" s="80"/>
      <c r="N74" s="80"/>
      <c r="O74" s="247"/>
      <c r="P74" s="80"/>
      <c r="Q74" s="85"/>
      <c r="R74" s="85"/>
      <c r="S74" s="85"/>
      <c r="T74" s="85"/>
      <c r="U74" s="85"/>
      <c r="V74" s="85"/>
      <c r="W74" s="90"/>
      <c r="X74" s="89"/>
    </row>
    <row r="75" spans="1:24" x14ac:dyDescent="0.35">
      <c r="A75" s="241" t="s">
        <v>211</v>
      </c>
      <c r="B75" s="165" t="s">
        <v>250</v>
      </c>
      <c r="C75" s="152"/>
      <c r="E75" s="152"/>
      <c r="F75" s="152"/>
      <c r="G75" s="152"/>
      <c r="H75" s="152"/>
      <c r="I75" s="152"/>
      <c r="J75" s="80"/>
      <c r="K75" s="80"/>
      <c r="L75" s="80"/>
      <c r="M75" s="80"/>
      <c r="N75" s="80"/>
      <c r="O75" s="247"/>
      <c r="P75" s="80"/>
      <c r="Q75" s="85"/>
      <c r="R75" s="85"/>
      <c r="S75" s="85"/>
      <c r="T75" s="85"/>
      <c r="U75" s="85"/>
      <c r="V75" s="85"/>
      <c r="W75" s="90"/>
      <c r="X75" s="89"/>
    </row>
    <row r="76" spans="1:24" x14ac:dyDescent="0.35">
      <c r="A76" s="241" t="s">
        <v>213</v>
      </c>
      <c r="B76" s="165" t="s">
        <v>251</v>
      </c>
      <c r="C76" s="152"/>
      <c r="E76" s="152"/>
      <c r="F76" s="152"/>
      <c r="G76" s="152"/>
      <c r="H76" s="152"/>
      <c r="I76" s="152"/>
      <c r="J76" s="80"/>
      <c r="K76" s="80"/>
      <c r="L76" s="80"/>
      <c r="M76" s="80"/>
      <c r="N76" s="80"/>
      <c r="O76" s="246"/>
      <c r="P76" s="80"/>
      <c r="Q76" s="85"/>
      <c r="R76" s="85"/>
      <c r="S76" s="85"/>
      <c r="T76" s="85"/>
      <c r="U76" s="85"/>
      <c r="V76" s="85"/>
      <c r="W76" s="90"/>
      <c r="X76" s="89"/>
    </row>
    <row r="77" spans="1:24" x14ac:dyDescent="0.35">
      <c r="C77" s="80"/>
      <c r="D77" s="80"/>
      <c r="E77" s="80"/>
      <c r="F77" s="80"/>
      <c r="G77" s="80"/>
      <c r="H77" s="80"/>
      <c r="I77" s="80"/>
      <c r="J77" s="80"/>
      <c r="K77" s="80"/>
      <c r="L77" s="80"/>
      <c r="M77" s="80"/>
      <c r="N77" s="80"/>
      <c r="O77" s="80"/>
      <c r="P77" s="80"/>
      <c r="Q77" s="80"/>
      <c r="R77" s="80"/>
      <c r="S77" s="80"/>
      <c r="T77" s="80"/>
      <c r="U77" s="80"/>
      <c r="V77" s="80"/>
      <c r="W77" s="80"/>
      <c r="X77" s="80"/>
    </row>
    <row r="78" spans="1:24" x14ac:dyDescent="0.35">
      <c r="C78" s="80"/>
      <c r="D78" s="80"/>
      <c r="E78" s="80"/>
      <c r="F78" s="80"/>
      <c r="G78" s="80"/>
      <c r="H78" s="80"/>
      <c r="I78" s="80"/>
      <c r="J78" s="80"/>
      <c r="K78" s="80"/>
      <c r="L78" s="80"/>
      <c r="M78" s="80"/>
      <c r="N78" s="80"/>
      <c r="O78" s="80"/>
      <c r="P78" s="80"/>
      <c r="Q78" s="80"/>
      <c r="R78" s="80"/>
      <c r="S78" s="80"/>
      <c r="T78" s="80"/>
      <c r="U78" s="80"/>
      <c r="V78" s="80"/>
      <c r="W78" s="86"/>
      <c r="X78" s="80"/>
    </row>
    <row r="79" spans="1:24" x14ac:dyDescent="0.35">
      <c r="C79" s="80"/>
      <c r="D79" s="80"/>
      <c r="E79" s="80"/>
      <c r="F79" s="80"/>
      <c r="G79" s="80"/>
      <c r="H79" s="80"/>
      <c r="I79" s="80"/>
      <c r="J79" s="80"/>
      <c r="K79" s="80"/>
      <c r="L79" s="80"/>
      <c r="M79" s="80"/>
      <c r="N79" s="80"/>
      <c r="O79" s="80"/>
      <c r="P79" s="80"/>
      <c r="Q79" s="80"/>
      <c r="R79" s="80"/>
      <c r="S79" s="80"/>
      <c r="T79" s="80"/>
      <c r="U79" s="80"/>
      <c r="V79" s="80"/>
      <c r="W79" s="80"/>
      <c r="X79" s="86"/>
    </row>
    <row r="88" spans="14:14" x14ac:dyDescent="0.35">
      <c r="N88" s="80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8363DB-5DF0-40DE-9136-60767AA8F0D4}">
  <sheetPr>
    <pageSetUpPr fitToPage="1"/>
  </sheetPr>
  <dimension ref="A1:AJ67"/>
  <sheetViews>
    <sheetView showGridLines="0" topLeftCell="A7" zoomScale="80" zoomScaleNormal="80" workbookViewId="0">
      <selection activeCell="T14" sqref="T14"/>
    </sheetView>
  </sheetViews>
  <sheetFormatPr defaultColWidth="9.1796875" defaultRowHeight="14.5" x14ac:dyDescent="0.35"/>
  <cols>
    <col min="1" max="1" width="70.453125" style="64" customWidth="1"/>
    <col min="2" max="2" width="6.453125" style="64" bestFit="1" customWidth="1"/>
    <col min="3" max="9" width="23.54296875" style="64" hidden="1" customWidth="1"/>
    <col min="10" max="10" width="28.7265625" style="64" hidden="1" customWidth="1"/>
    <col min="11" max="12" width="23.54296875" style="64" hidden="1" customWidth="1"/>
    <col min="13" max="13" width="23.54296875" style="94" hidden="1" customWidth="1"/>
    <col min="14" max="17" width="23.54296875" style="64" hidden="1" customWidth="1"/>
    <col min="18" max="18" width="23.54296875" style="64" customWidth="1"/>
    <col min="19" max="19" width="10.81640625" style="64" customWidth="1"/>
    <col min="20" max="21" width="10" style="64" customWidth="1"/>
    <col min="22" max="22" width="26.81640625" style="64" customWidth="1"/>
    <col min="23" max="23" width="15.54296875" style="64" customWidth="1"/>
    <col min="24" max="24" width="32.54296875" style="64" customWidth="1"/>
    <col min="25" max="26" width="27" style="64" customWidth="1"/>
    <col min="27" max="27" width="8.54296875" style="64" customWidth="1"/>
    <col min="28" max="254" width="9.1796875" style="64"/>
    <col min="255" max="255" width="20.54296875" style="64" customWidth="1"/>
    <col min="256" max="256" width="48.81640625" style="64" customWidth="1"/>
    <col min="257" max="257" width="19.54296875" style="64" customWidth="1"/>
    <col min="258" max="258" width="14" style="64" customWidth="1"/>
    <col min="259" max="260" width="14.1796875" style="64" customWidth="1"/>
    <col min="261" max="261" width="14" style="64" customWidth="1"/>
    <col min="262" max="262" width="18" style="64" customWidth="1"/>
    <col min="263" max="263" width="14.54296875" style="64" customWidth="1"/>
    <col min="264" max="264" width="27.81640625" style="64" customWidth="1"/>
    <col min="265" max="265" width="17.54296875" style="64" customWidth="1"/>
    <col min="266" max="266" width="16.81640625" style="64" customWidth="1"/>
    <col min="267" max="268" width="16.54296875" style="64" customWidth="1"/>
    <col min="269" max="269" width="17.453125" style="64" customWidth="1"/>
    <col min="270" max="270" width="23.453125" style="64" customWidth="1"/>
    <col min="271" max="271" width="12.453125" style="64" customWidth="1"/>
    <col min="272" max="510" width="9.1796875" style="64"/>
    <col min="511" max="511" width="20.54296875" style="64" customWidth="1"/>
    <col min="512" max="512" width="48.81640625" style="64" customWidth="1"/>
    <col min="513" max="513" width="19.54296875" style="64" customWidth="1"/>
    <col min="514" max="514" width="14" style="64" customWidth="1"/>
    <col min="515" max="516" width="14.1796875" style="64" customWidth="1"/>
    <col min="517" max="517" width="14" style="64" customWidth="1"/>
    <col min="518" max="518" width="18" style="64" customWidth="1"/>
    <col min="519" max="519" width="14.54296875" style="64" customWidth="1"/>
    <col min="520" max="520" width="27.81640625" style="64" customWidth="1"/>
    <col min="521" max="521" width="17.54296875" style="64" customWidth="1"/>
    <col min="522" max="522" width="16.81640625" style="64" customWidth="1"/>
    <col min="523" max="524" width="16.54296875" style="64" customWidth="1"/>
    <col min="525" max="525" width="17.453125" style="64" customWidth="1"/>
    <col min="526" max="526" width="23.453125" style="64" customWidth="1"/>
    <col min="527" max="527" width="12.453125" style="64" customWidth="1"/>
    <col min="528" max="766" width="9.1796875" style="64"/>
    <col min="767" max="767" width="20.54296875" style="64" customWidth="1"/>
    <col min="768" max="768" width="48.81640625" style="64" customWidth="1"/>
    <col min="769" max="769" width="19.54296875" style="64" customWidth="1"/>
    <col min="770" max="770" width="14" style="64" customWidth="1"/>
    <col min="771" max="772" width="14.1796875" style="64" customWidth="1"/>
    <col min="773" max="773" width="14" style="64" customWidth="1"/>
    <col min="774" max="774" width="18" style="64" customWidth="1"/>
    <col min="775" max="775" width="14.54296875" style="64" customWidth="1"/>
    <col min="776" max="776" width="27.81640625" style="64" customWidth="1"/>
    <col min="777" max="777" width="17.54296875" style="64" customWidth="1"/>
    <col min="778" max="778" width="16.81640625" style="64" customWidth="1"/>
    <col min="779" max="780" width="16.54296875" style="64" customWidth="1"/>
    <col min="781" max="781" width="17.453125" style="64" customWidth="1"/>
    <col min="782" max="782" width="23.453125" style="64" customWidth="1"/>
    <col min="783" max="783" width="12.453125" style="64" customWidth="1"/>
    <col min="784" max="1022" width="9.1796875" style="64"/>
    <col min="1023" max="1023" width="20.54296875" style="64" customWidth="1"/>
    <col min="1024" max="1024" width="48.81640625" style="64" customWidth="1"/>
    <col min="1025" max="1025" width="19.54296875" style="64" customWidth="1"/>
    <col min="1026" max="1026" width="14" style="64" customWidth="1"/>
    <col min="1027" max="1028" width="14.1796875" style="64" customWidth="1"/>
    <col min="1029" max="1029" width="14" style="64" customWidth="1"/>
    <col min="1030" max="1030" width="18" style="64" customWidth="1"/>
    <col min="1031" max="1031" width="14.54296875" style="64" customWidth="1"/>
    <col min="1032" max="1032" width="27.81640625" style="64" customWidth="1"/>
    <col min="1033" max="1033" width="17.54296875" style="64" customWidth="1"/>
    <col min="1034" max="1034" width="16.81640625" style="64" customWidth="1"/>
    <col min="1035" max="1036" width="16.54296875" style="64" customWidth="1"/>
    <col min="1037" max="1037" width="17.453125" style="64" customWidth="1"/>
    <col min="1038" max="1038" width="23.453125" style="64" customWidth="1"/>
    <col min="1039" max="1039" width="12.453125" style="64" customWidth="1"/>
    <col min="1040" max="1278" width="9.1796875" style="64"/>
    <col min="1279" max="1279" width="20.54296875" style="64" customWidth="1"/>
    <col min="1280" max="1280" width="48.81640625" style="64" customWidth="1"/>
    <col min="1281" max="1281" width="19.54296875" style="64" customWidth="1"/>
    <col min="1282" max="1282" width="14" style="64" customWidth="1"/>
    <col min="1283" max="1284" width="14.1796875" style="64" customWidth="1"/>
    <col min="1285" max="1285" width="14" style="64" customWidth="1"/>
    <col min="1286" max="1286" width="18" style="64" customWidth="1"/>
    <col min="1287" max="1287" width="14.54296875" style="64" customWidth="1"/>
    <col min="1288" max="1288" width="27.81640625" style="64" customWidth="1"/>
    <col min="1289" max="1289" width="17.54296875" style="64" customWidth="1"/>
    <col min="1290" max="1290" width="16.81640625" style="64" customWidth="1"/>
    <col min="1291" max="1292" width="16.54296875" style="64" customWidth="1"/>
    <col min="1293" max="1293" width="17.453125" style="64" customWidth="1"/>
    <col min="1294" max="1294" width="23.453125" style="64" customWidth="1"/>
    <col min="1295" max="1295" width="12.453125" style="64" customWidth="1"/>
    <col min="1296" max="1534" width="9.1796875" style="64"/>
    <col min="1535" max="1535" width="20.54296875" style="64" customWidth="1"/>
    <col min="1536" max="1536" width="48.81640625" style="64" customWidth="1"/>
    <col min="1537" max="1537" width="19.54296875" style="64" customWidth="1"/>
    <col min="1538" max="1538" width="14" style="64" customWidth="1"/>
    <col min="1539" max="1540" width="14.1796875" style="64" customWidth="1"/>
    <col min="1541" max="1541" width="14" style="64" customWidth="1"/>
    <col min="1542" max="1542" width="18" style="64" customWidth="1"/>
    <col min="1543" max="1543" width="14.54296875" style="64" customWidth="1"/>
    <col min="1544" max="1544" width="27.81640625" style="64" customWidth="1"/>
    <col min="1545" max="1545" width="17.54296875" style="64" customWidth="1"/>
    <col min="1546" max="1546" width="16.81640625" style="64" customWidth="1"/>
    <col min="1547" max="1548" width="16.54296875" style="64" customWidth="1"/>
    <col min="1549" max="1549" width="17.453125" style="64" customWidth="1"/>
    <col min="1550" max="1550" width="23.453125" style="64" customWidth="1"/>
    <col min="1551" max="1551" width="12.453125" style="64" customWidth="1"/>
    <col min="1552" max="1790" width="9.1796875" style="64"/>
    <col min="1791" max="1791" width="20.54296875" style="64" customWidth="1"/>
    <col min="1792" max="1792" width="48.81640625" style="64" customWidth="1"/>
    <col min="1793" max="1793" width="19.54296875" style="64" customWidth="1"/>
    <col min="1794" max="1794" width="14" style="64" customWidth="1"/>
    <col min="1795" max="1796" width="14.1796875" style="64" customWidth="1"/>
    <col min="1797" max="1797" width="14" style="64" customWidth="1"/>
    <col min="1798" max="1798" width="18" style="64" customWidth="1"/>
    <col min="1799" max="1799" width="14.54296875" style="64" customWidth="1"/>
    <col min="1800" max="1800" width="27.81640625" style="64" customWidth="1"/>
    <col min="1801" max="1801" width="17.54296875" style="64" customWidth="1"/>
    <col min="1802" max="1802" width="16.81640625" style="64" customWidth="1"/>
    <col min="1803" max="1804" width="16.54296875" style="64" customWidth="1"/>
    <col min="1805" max="1805" width="17.453125" style="64" customWidth="1"/>
    <col min="1806" max="1806" width="23.453125" style="64" customWidth="1"/>
    <col min="1807" max="1807" width="12.453125" style="64" customWidth="1"/>
    <col min="1808" max="2046" width="9.1796875" style="64"/>
    <col min="2047" max="2047" width="20.54296875" style="64" customWidth="1"/>
    <col min="2048" max="2048" width="48.81640625" style="64" customWidth="1"/>
    <col min="2049" max="2049" width="19.54296875" style="64" customWidth="1"/>
    <col min="2050" max="2050" width="14" style="64" customWidth="1"/>
    <col min="2051" max="2052" width="14.1796875" style="64" customWidth="1"/>
    <col min="2053" max="2053" width="14" style="64" customWidth="1"/>
    <col min="2054" max="2054" width="18" style="64" customWidth="1"/>
    <col min="2055" max="2055" width="14.54296875" style="64" customWidth="1"/>
    <col min="2056" max="2056" width="27.81640625" style="64" customWidth="1"/>
    <col min="2057" max="2057" width="17.54296875" style="64" customWidth="1"/>
    <col min="2058" max="2058" width="16.81640625" style="64" customWidth="1"/>
    <col min="2059" max="2060" width="16.54296875" style="64" customWidth="1"/>
    <col min="2061" max="2061" width="17.453125" style="64" customWidth="1"/>
    <col min="2062" max="2062" width="23.453125" style="64" customWidth="1"/>
    <col min="2063" max="2063" width="12.453125" style="64" customWidth="1"/>
    <col min="2064" max="2302" width="9.1796875" style="64"/>
    <col min="2303" max="2303" width="20.54296875" style="64" customWidth="1"/>
    <col min="2304" max="2304" width="48.81640625" style="64" customWidth="1"/>
    <col min="2305" max="2305" width="19.54296875" style="64" customWidth="1"/>
    <col min="2306" max="2306" width="14" style="64" customWidth="1"/>
    <col min="2307" max="2308" width="14.1796875" style="64" customWidth="1"/>
    <col min="2309" max="2309" width="14" style="64" customWidth="1"/>
    <col min="2310" max="2310" width="18" style="64" customWidth="1"/>
    <col min="2311" max="2311" width="14.54296875" style="64" customWidth="1"/>
    <col min="2312" max="2312" width="27.81640625" style="64" customWidth="1"/>
    <col min="2313" max="2313" width="17.54296875" style="64" customWidth="1"/>
    <col min="2314" max="2314" width="16.81640625" style="64" customWidth="1"/>
    <col min="2315" max="2316" width="16.54296875" style="64" customWidth="1"/>
    <col min="2317" max="2317" width="17.453125" style="64" customWidth="1"/>
    <col min="2318" max="2318" width="23.453125" style="64" customWidth="1"/>
    <col min="2319" max="2319" width="12.453125" style="64" customWidth="1"/>
    <col min="2320" max="2558" width="9.1796875" style="64"/>
    <col min="2559" max="2559" width="20.54296875" style="64" customWidth="1"/>
    <col min="2560" max="2560" width="48.81640625" style="64" customWidth="1"/>
    <col min="2561" max="2561" width="19.54296875" style="64" customWidth="1"/>
    <col min="2562" max="2562" width="14" style="64" customWidth="1"/>
    <col min="2563" max="2564" width="14.1796875" style="64" customWidth="1"/>
    <col min="2565" max="2565" width="14" style="64" customWidth="1"/>
    <col min="2566" max="2566" width="18" style="64" customWidth="1"/>
    <col min="2567" max="2567" width="14.54296875" style="64" customWidth="1"/>
    <col min="2568" max="2568" width="27.81640625" style="64" customWidth="1"/>
    <col min="2569" max="2569" width="17.54296875" style="64" customWidth="1"/>
    <col min="2570" max="2570" width="16.81640625" style="64" customWidth="1"/>
    <col min="2571" max="2572" width="16.54296875" style="64" customWidth="1"/>
    <col min="2573" max="2573" width="17.453125" style="64" customWidth="1"/>
    <col min="2574" max="2574" width="23.453125" style="64" customWidth="1"/>
    <col min="2575" max="2575" width="12.453125" style="64" customWidth="1"/>
    <col min="2576" max="2814" width="9.1796875" style="64"/>
    <col min="2815" max="2815" width="20.54296875" style="64" customWidth="1"/>
    <col min="2816" max="2816" width="48.81640625" style="64" customWidth="1"/>
    <col min="2817" max="2817" width="19.54296875" style="64" customWidth="1"/>
    <col min="2818" max="2818" width="14" style="64" customWidth="1"/>
    <col min="2819" max="2820" width="14.1796875" style="64" customWidth="1"/>
    <col min="2821" max="2821" width="14" style="64" customWidth="1"/>
    <col min="2822" max="2822" width="18" style="64" customWidth="1"/>
    <col min="2823" max="2823" width="14.54296875" style="64" customWidth="1"/>
    <col min="2824" max="2824" width="27.81640625" style="64" customWidth="1"/>
    <col min="2825" max="2825" width="17.54296875" style="64" customWidth="1"/>
    <col min="2826" max="2826" width="16.81640625" style="64" customWidth="1"/>
    <col min="2827" max="2828" width="16.54296875" style="64" customWidth="1"/>
    <col min="2829" max="2829" width="17.453125" style="64" customWidth="1"/>
    <col min="2830" max="2830" width="23.453125" style="64" customWidth="1"/>
    <col min="2831" max="2831" width="12.453125" style="64" customWidth="1"/>
    <col min="2832" max="3070" width="9.1796875" style="64"/>
    <col min="3071" max="3071" width="20.54296875" style="64" customWidth="1"/>
    <col min="3072" max="3072" width="48.81640625" style="64" customWidth="1"/>
    <col min="3073" max="3073" width="19.54296875" style="64" customWidth="1"/>
    <col min="3074" max="3074" width="14" style="64" customWidth="1"/>
    <col min="3075" max="3076" width="14.1796875" style="64" customWidth="1"/>
    <col min="3077" max="3077" width="14" style="64" customWidth="1"/>
    <col min="3078" max="3078" width="18" style="64" customWidth="1"/>
    <col min="3079" max="3079" width="14.54296875" style="64" customWidth="1"/>
    <col min="3080" max="3080" width="27.81640625" style="64" customWidth="1"/>
    <col min="3081" max="3081" width="17.54296875" style="64" customWidth="1"/>
    <col min="3082" max="3082" width="16.81640625" style="64" customWidth="1"/>
    <col min="3083" max="3084" width="16.54296875" style="64" customWidth="1"/>
    <col min="3085" max="3085" width="17.453125" style="64" customWidth="1"/>
    <col min="3086" max="3086" width="23.453125" style="64" customWidth="1"/>
    <col min="3087" max="3087" width="12.453125" style="64" customWidth="1"/>
    <col min="3088" max="3326" width="9.1796875" style="64"/>
    <col min="3327" max="3327" width="20.54296875" style="64" customWidth="1"/>
    <col min="3328" max="3328" width="48.81640625" style="64" customWidth="1"/>
    <col min="3329" max="3329" width="19.54296875" style="64" customWidth="1"/>
    <col min="3330" max="3330" width="14" style="64" customWidth="1"/>
    <col min="3331" max="3332" width="14.1796875" style="64" customWidth="1"/>
    <col min="3333" max="3333" width="14" style="64" customWidth="1"/>
    <col min="3334" max="3334" width="18" style="64" customWidth="1"/>
    <col min="3335" max="3335" width="14.54296875" style="64" customWidth="1"/>
    <col min="3336" max="3336" width="27.81640625" style="64" customWidth="1"/>
    <col min="3337" max="3337" width="17.54296875" style="64" customWidth="1"/>
    <col min="3338" max="3338" width="16.81640625" style="64" customWidth="1"/>
    <col min="3339" max="3340" width="16.54296875" style="64" customWidth="1"/>
    <col min="3341" max="3341" width="17.453125" style="64" customWidth="1"/>
    <col min="3342" max="3342" width="23.453125" style="64" customWidth="1"/>
    <col min="3343" max="3343" width="12.453125" style="64" customWidth="1"/>
    <col min="3344" max="3582" width="9.1796875" style="64"/>
    <col min="3583" max="3583" width="20.54296875" style="64" customWidth="1"/>
    <col min="3584" max="3584" width="48.81640625" style="64" customWidth="1"/>
    <col min="3585" max="3585" width="19.54296875" style="64" customWidth="1"/>
    <col min="3586" max="3586" width="14" style="64" customWidth="1"/>
    <col min="3587" max="3588" width="14.1796875" style="64" customWidth="1"/>
    <col min="3589" max="3589" width="14" style="64" customWidth="1"/>
    <col min="3590" max="3590" width="18" style="64" customWidth="1"/>
    <col min="3591" max="3591" width="14.54296875" style="64" customWidth="1"/>
    <col min="3592" max="3592" width="27.81640625" style="64" customWidth="1"/>
    <col min="3593" max="3593" width="17.54296875" style="64" customWidth="1"/>
    <col min="3594" max="3594" width="16.81640625" style="64" customWidth="1"/>
    <col min="3595" max="3596" width="16.54296875" style="64" customWidth="1"/>
    <col min="3597" max="3597" width="17.453125" style="64" customWidth="1"/>
    <col min="3598" max="3598" width="23.453125" style="64" customWidth="1"/>
    <col min="3599" max="3599" width="12.453125" style="64" customWidth="1"/>
    <col min="3600" max="3838" width="9.1796875" style="64"/>
    <col min="3839" max="3839" width="20.54296875" style="64" customWidth="1"/>
    <col min="3840" max="3840" width="48.81640625" style="64" customWidth="1"/>
    <col min="3841" max="3841" width="19.54296875" style="64" customWidth="1"/>
    <col min="3842" max="3842" width="14" style="64" customWidth="1"/>
    <col min="3843" max="3844" width="14.1796875" style="64" customWidth="1"/>
    <col min="3845" max="3845" width="14" style="64" customWidth="1"/>
    <col min="3846" max="3846" width="18" style="64" customWidth="1"/>
    <col min="3847" max="3847" width="14.54296875" style="64" customWidth="1"/>
    <col min="3848" max="3848" width="27.81640625" style="64" customWidth="1"/>
    <col min="3849" max="3849" width="17.54296875" style="64" customWidth="1"/>
    <col min="3850" max="3850" width="16.81640625" style="64" customWidth="1"/>
    <col min="3851" max="3852" width="16.54296875" style="64" customWidth="1"/>
    <col min="3853" max="3853" width="17.453125" style="64" customWidth="1"/>
    <col min="3854" max="3854" width="23.453125" style="64" customWidth="1"/>
    <col min="3855" max="3855" width="12.453125" style="64" customWidth="1"/>
    <col min="3856" max="4094" width="9.1796875" style="64"/>
    <col min="4095" max="4095" width="20.54296875" style="64" customWidth="1"/>
    <col min="4096" max="4096" width="48.81640625" style="64" customWidth="1"/>
    <col min="4097" max="4097" width="19.54296875" style="64" customWidth="1"/>
    <col min="4098" max="4098" width="14" style="64" customWidth="1"/>
    <col min="4099" max="4100" width="14.1796875" style="64" customWidth="1"/>
    <col min="4101" max="4101" width="14" style="64" customWidth="1"/>
    <col min="4102" max="4102" width="18" style="64" customWidth="1"/>
    <col min="4103" max="4103" width="14.54296875" style="64" customWidth="1"/>
    <col min="4104" max="4104" width="27.81640625" style="64" customWidth="1"/>
    <col min="4105" max="4105" width="17.54296875" style="64" customWidth="1"/>
    <col min="4106" max="4106" width="16.81640625" style="64" customWidth="1"/>
    <col min="4107" max="4108" width="16.54296875" style="64" customWidth="1"/>
    <col min="4109" max="4109" width="17.453125" style="64" customWidth="1"/>
    <col min="4110" max="4110" width="23.453125" style="64" customWidth="1"/>
    <col min="4111" max="4111" width="12.453125" style="64" customWidth="1"/>
    <col min="4112" max="4350" width="9.1796875" style="64"/>
    <col min="4351" max="4351" width="20.54296875" style="64" customWidth="1"/>
    <col min="4352" max="4352" width="48.81640625" style="64" customWidth="1"/>
    <col min="4353" max="4353" width="19.54296875" style="64" customWidth="1"/>
    <col min="4354" max="4354" width="14" style="64" customWidth="1"/>
    <col min="4355" max="4356" width="14.1796875" style="64" customWidth="1"/>
    <col min="4357" max="4357" width="14" style="64" customWidth="1"/>
    <col min="4358" max="4358" width="18" style="64" customWidth="1"/>
    <col min="4359" max="4359" width="14.54296875" style="64" customWidth="1"/>
    <col min="4360" max="4360" width="27.81640625" style="64" customWidth="1"/>
    <col min="4361" max="4361" width="17.54296875" style="64" customWidth="1"/>
    <col min="4362" max="4362" width="16.81640625" style="64" customWidth="1"/>
    <col min="4363" max="4364" width="16.54296875" style="64" customWidth="1"/>
    <col min="4365" max="4365" width="17.453125" style="64" customWidth="1"/>
    <col min="4366" max="4366" width="23.453125" style="64" customWidth="1"/>
    <col min="4367" max="4367" width="12.453125" style="64" customWidth="1"/>
    <col min="4368" max="4606" width="9.1796875" style="64"/>
    <col min="4607" max="4607" width="20.54296875" style="64" customWidth="1"/>
    <col min="4608" max="4608" width="48.81640625" style="64" customWidth="1"/>
    <col min="4609" max="4609" width="19.54296875" style="64" customWidth="1"/>
    <col min="4610" max="4610" width="14" style="64" customWidth="1"/>
    <col min="4611" max="4612" width="14.1796875" style="64" customWidth="1"/>
    <col min="4613" max="4613" width="14" style="64" customWidth="1"/>
    <col min="4614" max="4614" width="18" style="64" customWidth="1"/>
    <col min="4615" max="4615" width="14.54296875" style="64" customWidth="1"/>
    <col min="4616" max="4616" width="27.81640625" style="64" customWidth="1"/>
    <col min="4617" max="4617" width="17.54296875" style="64" customWidth="1"/>
    <col min="4618" max="4618" width="16.81640625" style="64" customWidth="1"/>
    <col min="4619" max="4620" width="16.54296875" style="64" customWidth="1"/>
    <col min="4621" max="4621" width="17.453125" style="64" customWidth="1"/>
    <col min="4622" max="4622" width="23.453125" style="64" customWidth="1"/>
    <col min="4623" max="4623" width="12.453125" style="64" customWidth="1"/>
    <col min="4624" max="4862" width="9.1796875" style="64"/>
    <col min="4863" max="4863" width="20.54296875" style="64" customWidth="1"/>
    <col min="4864" max="4864" width="48.81640625" style="64" customWidth="1"/>
    <col min="4865" max="4865" width="19.54296875" style="64" customWidth="1"/>
    <col min="4866" max="4866" width="14" style="64" customWidth="1"/>
    <col min="4867" max="4868" width="14.1796875" style="64" customWidth="1"/>
    <col min="4869" max="4869" width="14" style="64" customWidth="1"/>
    <col min="4870" max="4870" width="18" style="64" customWidth="1"/>
    <col min="4871" max="4871" width="14.54296875" style="64" customWidth="1"/>
    <col min="4872" max="4872" width="27.81640625" style="64" customWidth="1"/>
    <col min="4873" max="4873" width="17.54296875" style="64" customWidth="1"/>
    <col min="4874" max="4874" width="16.81640625" style="64" customWidth="1"/>
    <col min="4875" max="4876" width="16.54296875" style="64" customWidth="1"/>
    <col min="4877" max="4877" width="17.453125" style="64" customWidth="1"/>
    <col min="4878" max="4878" width="23.453125" style="64" customWidth="1"/>
    <col min="4879" max="4879" width="12.453125" style="64" customWidth="1"/>
    <col min="4880" max="5118" width="9.1796875" style="64"/>
    <col min="5119" max="5119" width="20.54296875" style="64" customWidth="1"/>
    <col min="5120" max="5120" width="48.81640625" style="64" customWidth="1"/>
    <col min="5121" max="5121" width="19.54296875" style="64" customWidth="1"/>
    <col min="5122" max="5122" width="14" style="64" customWidth="1"/>
    <col min="5123" max="5124" width="14.1796875" style="64" customWidth="1"/>
    <col min="5125" max="5125" width="14" style="64" customWidth="1"/>
    <col min="5126" max="5126" width="18" style="64" customWidth="1"/>
    <col min="5127" max="5127" width="14.54296875" style="64" customWidth="1"/>
    <col min="5128" max="5128" width="27.81640625" style="64" customWidth="1"/>
    <col min="5129" max="5129" width="17.54296875" style="64" customWidth="1"/>
    <col min="5130" max="5130" width="16.81640625" style="64" customWidth="1"/>
    <col min="5131" max="5132" width="16.54296875" style="64" customWidth="1"/>
    <col min="5133" max="5133" width="17.453125" style="64" customWidth="1"/>
    <col min="5134" max="5134" width="23.453125" style="64" customWidth="1"/>
    <col min="5135" max="5135" width="12.453125" style="64" customWidth="1"/>
    <col min="5136" max="5374" width="9.1796875" style="64"/>
    <col min="5375" max="5375" width="20.54296875" style="64" customWidth="1"/>
    <col min="5376" max="5376" width="48.81640625" style="64" customWidth="1"/>
    <col min="5377" max="5377" width="19.54296875" style="64" customWidth="1"/>
    <col min="5378" max="5378" width="14" style="64" customWidth="1"/>
    <col min="5379" max="5380" width="14.1796875" style="64" customWidth="1"/>
    <col min="5381" max="5381" width="14" style="64" customWidth="1"/>
    <col min="5382" max="5382" width="18" style="64" customWidth="1"/>
    <col min="5383" max="5383" width="14.54296875" style="64" customWidth="1"/>
    <col min="5384" max="5384" width="27.81640625" style="64" customWidth="1"/>
    <col min="5385" max="5385" width="17.54296875" style="64" customWidth="1"/>
    <col min="5386" max="5386" width="16.81640625" style="64" customWidth="1"/>
    <col min="5387" max="5388" width="16.54296875" style="64" customWidth="1"/>
    <col min="5389" max="5389" width="17.453125" style="64" customWidth="1"/>
    <col min="5390" max="5390" width="23.453125" style="64" customWidth="1"/>
    <col min="5391" max="5391" width="12.453125" style="64" customWidth="1"/>
    <col min="5392" max="5630" width="9.1796875" style="64"/>
    <col min="5631" max="5631" width="20.54296875" style="64" customWidth="1"/>
    <col min="5632" max="5632" width="48.81640625" style="64" customWidth="1"/>
    <col min="5633" max="5633" width="19.54296875" style="64" customWidth="1"/>
    <col min="5634" max="5634" width="14" style="64" customWidth="1"/>
    <col min="5635" max="5636" width="14.1796875" style="64" customWidth="1"/>
    <col min="5637" max="5637" width="14" style="64" customWidth="1"/>
    <col min="5638" max="5638" width="18" style="64" customWidth="1"/>
    <col min="5639" max="5639" width="14.54296875" style="64" customWidth="1"/>
    <col min="5640" max="5640" width="27.81640625" style="64" customWidth="1"/>
    <col min="5641" max="5641" width="17.54296875" style="64" customWidth="1"/>
    <col min="5642" max="5642" width="16.81640625" style="64" customWidth="1"/>
    <col min="5643" max="5644" width="16.54296875" style="64" customWidth="1"/>
    <col min="5645" max="5645" width="17.453125" style="64" customWidth="1"/>
    <col min="5646" max="5646" width="23.453125" style="64" customWidth="1"/>
    <col min="5647" max="5647" width="12.453125" style="64" customWidth="1"/>
    <col min="5648" max="5886" width="9.1796875" style="64"/>
    <col min="5887" max="5887" width="20.54296875" style="64" customWidth="1"/>
    <col min="5888" max="5888" width="48.81640625" style="64" customWidth="1"/>
    <col min="5889" max="5889" width="19.54296875" style="64" customWidth="1"/>
    <col min="5890" max="5890" width="14" style="64" customWidth="1"/>
    <col min="5891" max="5892" width="14.1796875" style="64" customWidth="1"/>
    <col min="5893" max="5893" width="14" style="64" customWidth="1"/>
    <col min="5894" max="5894" width="18" style="64" customWidth="1"/>
    <col min="5895" max="5895" width="14.54296875" style="64" customWidth="1"/>
    <col min="5896" max="5896" width="27.81640625" style="64" customWidth="1"/>
    <col min="5897" max="5897" width="17.54296875" style="64" customWidth="1"/>
    <col min="5898" max="5898" width="16.81640625" style="64" customWidth="1"/>
    <col min="5899" max="5900" width="16.54296875" style="64" customWidth="1"/>
    <col min="5901" max="5901" width="17.453125" style="64" customWidth="1"/>
    <col min="5902" max="5902" width="23.453125" style="64" customWidth="1"/>
    <col min="5903" max="5903" width="12.453125" style="64" customWidth="1"/>
    <col min="5904" max="6142" width="9.1796875" style="64"/>
    <col min="6143" max="6143" width="20.54296875" style="64" customWidth="1"/>
    <col min="6144" max="6144" width="48.81640625" style="64" customWidth="1"/>
    <col min="6145" max="6145" width="19.54296875" style="64" customWidth="1"/>
    <col min="6146" max="6146" width="14" style="64" customWidth="1"/>
    <col min="6147" max="6148" width="14.1796875" style="64" customWidth="1"/>
    <col min="6149" max="6149" width="14" style="64" customWidth="1"/>
    <col min="6150" max="6150" width="18" style="64" customWidth="1"/>
    <col min="6151" max="6151" width="14.54296875" style="64" customWidth="1"/>
    <col min="6152" max="6152" width="27.81640625" style="64" customWidth="1"/>
    <col min="6153" max="6153" width="17.54296875" style="64" customWidth="1"/>
    <col min="6154" max="6154" width="16.81640625" style="64" customWidth="1"/>
    <col min="6155" max="6156" width="16.54296875" style="64" customWidth="1"/>
    <col min="6157" max="6157" width="17.453125" style="64" customWidth="1"/>
    <col min="6158" max="6158" width="23.453125" style="64" customWidth="1"/>
    <col min="6159" max="6159" width="12.453125" style="64" customWidth="1"/>
    <col min="6160" max="6398" width="9.1796875" style="64"/>
    <col min="6399" max="6399" width="20.54296875" style="64" customWidth="1"/>
    <col min="6400" max="6400" width="48.81640625" style="64" customWidth="1"/>
    <col min="6401" max="6401" width="19.54296875" style="64" customWidth="1"/>
    <col min="6402" max="6402" width="14" style="64" customWidth="1"/>
    <col min="6403" max="6404" width="14.1796875" style="64" customWidth="1"/>
    <col min="6405" max="6405" width="14" style="64" customWidth="1"/>
    <col min="6406" max="6406" width="18" style="64" customWidth="1"/>
    <col min="6407" max="6407" width="14.54296875" style="64" customWidth="1"/>
    <col min="6408" max="6408" width="27.81640625" style="64" customWidth="1"/>
    <col min="6409" max="6409" width="17.54296875" style="64" customWidth="1"/>
    <col min="6410" max="6410" width="16.81640625" style="64" customWidth="1"/>
    <col min="6411" max="6412" width="16.54296875" style="64" customWidth="1"/>
    <col min="6413" max="6413" width="17.453125" style="64" customWidth="1"/>
    <col min="6414" max="6414" width="23.453125" style="64" customWidth="1"/>
    <col min="6415" max="6415" width="12.453125" style="64" customWidth="1"/>
    <col min="6416" max="6654" width="9.1796875" style="64"/>
    <col min="6655" max="6655" width="20.54296875" style="64" customWidth="1"/>
    <col min="6656" max="6656" width="48.81640625" style="64" customWidth="1"/>
    <col min="6657" max="6657" width="19.54296875" style="64" customWidth="1"/>
    <col min="6658" max="6658" width="14" style="64" customWidth="1"/>
    <col min="6659" max="6660" width="14.1796875" style="64" customWidth="1"/>
    <col min="6661" max="6661" width="14" style="64" customWidth="1"/>
    <col min="6662" max="6662" width="18" style="64" customWidth="1"/>
    <col min="6663" max="6663" width="14.54296875" style="64" customWidth="1"/>
    <col min="6664" max="6664" width="27.81640625" style="64" customWidth="1"/>
    <col min="6665" max="6665" width="17.54296875" style="64" customWidth="1"/>
    <col min="6666" max="6666" width="16.81640625" style="64" customWidth="1"/>
    <col min="6667" max="6668" width="16.54296875" style="64" customWidth="1"/>
    <col min="6669" max="6669" width="17.453125" style="64" customWidth="1"/>
    <col min="6670" max="6670" width="23.453125" style="64" customWidth="1"/>
    <col min="6671" max="6671" width="12.453125" style="64" customWidth="1"/>
    <col min="6672" max="6910" width="9.1796875" style="64"/>
    <col min="6911" max="6911" width="20.54296875" style="64" customWidth="1"/>
    <col min="6912" max="6912" width="48.81640625" style="64" customWidth="1"/>
    <col min="6913" max="6913" width="19.54296875" style="64" customWidth="1"/>
    <col min="6914" max="6914" width="14" style="64" customWidth="1"/>
    <col min="6915" max="6916" width="14.1796875" style="64" customWidth="1"/>
    <col min="6917" max="6917" width="14" style="64" customWidth="1"/>
    <col min="6918" max="6918" width="18" style="64" customWidth="1"/>
    <col min="6919" max="6919" width="14.54296875" style="64" customWidth="1"/>
    <col min="6920" max="6920" width="27.81640625" style="64" customWidth="1"/>
    <col min="6921" max="6921" width="17.54296875" style="64" customWidth="1"/>
    <col min="6922" max="6922" width="16.81640625" style="64" customWidth="1"/>
    <col min="6923" max="6924" width="16.54296875" style="64" customWidth="1"/>
    <col min="6925" max="6925" width="17.453125" style="64" customWidth="1"/>
    <col min="6926" max="6926" width="23.453125" style="64" customWidth="1"/>
    <col min="6927" max="6927" width="12.453125" style="64" customWidth="1"/>
    <col min="6928" max="7166" width="9.1796875" style="64"/>
    <col min="7167" max="7167" width="20.54296875" style="64" customWidth="1"/>
    <col min="7168" max="7168" width="48.81640625" style="64" customWidth="1"/>
    <col min="7169" max="7169" width="19.54296875" style="64" customWidth="1"/>
    <col min="7170" max="7170" width="14" style="64" customWidth="1"/>
    <col min="7171" max="7172" width="14.1796875" style="64" customWidth="1"/>
    <col min="7173" max="7173" width="14" style="64" customWidth="1"/>
    <col min="7174" max="7174" width="18" style="64" customWidth="1"/>
    <col min="7175" max="7175" width="14.54296875" style="64" customWidth="1"/>
    <col min="7176" max="7176" width="27.81640625" style="64" customWidth="1"/>
    <col min="7177" max="7177" width="17.54296875" style="64" customWidth="1"/>
    <col min="7178" max="7178" width="16.81640625" style="64" customWidth="1"/>
    <col min="7179" max="7180" width="16.54296875" style="64" customWidth="1"/>
    <col min="7181" max="7181" width="17.453125" style="64" customWidth="1"/>
    <col min="7182" max="7182" width="23.453125" style="64" customWidth="1"/>
    <col min="7183" max="7183" width="12.453125" style="64" customWidth="1"/>
    <col min="7184" max="7422" width="9.1796875" style="64"/>
    <col min="7423" max="7423" width="20.54296875" style="64" customWidth="1"/>
    <col min="7424" max="7424" width="48.81640625" style="64" customWidth="1"/>
    <col min="7425" max="7425" width="19.54296875" style="64" customWidth="1"/>
    <col min="7426" max="7426" width="14" style="64" customWidth="1"/>
    <col min="7427" max="7428" width="14.1796875" style="64" customWidth="1"/>
    <col min="7429" max="7429" width="14" style="64" customWidth="1"/>
    <col min="7430" max="7430" width="18" style="64" customWidth="1"/>
    <col min="7431" max="7431" width="14.54296875" style="64" customWidth="1"/>
    <col min="7432" max="7432" width="27.81640625" style="64" customWidth="1"/>
    <col min="7433" max="7433" width="17.54296875" style="64" customWidth="1"/>
    <col min="7434" max="7434" width="16.81640625" style="64" customWidth="1"/>
    <col min="7435" max="7436" width="16.54296875" style="64" customWidth="1"/>
    <col min="7437" max="7437" width="17.453125" style="64" customWidth="1"/>
    <col min="7438" max="7438" width="23.453125" style="64" customWidth="1"/>
    <col min="7439" max="7439" width="12.453125" style="64" customWidth="1"/>
    <col min="7440" max="7678" width="9.1796875" style="64"/>
    <col min="7679" max="7679" width="20.54296875" style="64" customWidth="1"/>
    <col min="7680" max="7680" width="48.81640625" style="64" customWidth="1"/>
    <col min="7681" max="7681" width="19.54296875" style="64" customWidth="1"/>
    <col min="7682" max="7682" width="14" style="64" customWidth="1"/>
    <col min="7683" max="7684" width="14.1796875" style="64" customWidth="1"/>
    <col min="7685" max="7685" width="14" style="64" customWidth="1"/>
    <col min="7686" max="7686" width="18" style="64" customWidth="1"/>
    <col min="7687" max="7687" width="14.54296875" style="64" customWidth="1"/>
    <col min="7688" max="7688" width="27.81640625" style="64" customWidth="1"/>
    <col min="7689" max="7689" width="17.54296875" style="64" customWidth="1"/>
    <col min="7690" max="7690" width="16.81640625" style="64" customWidth="1"/>
    <col min="7691" max="7692" width="16.54296875" style="64" customWidth="1"/>
    <col min="7693" max="7693" width="17.453125" style="64" customWidth="1"/>
    <col min="7694" max="7694" width="23.453125" style="64" customWidth="1"/>
    <col min="7695" max="7695" width="12.453125" style="64" customWidth="1"/>
    <col min="7696" max="7934" width="9.1796875" style="64"/>
    <col min="7935" max="7935" width="20.54296875" style="64" customWidth="1"/>
    <col min="7936" max="7936" width="48.81640625" style="64" customWidth="1"/>
    <col min="7937" max="7937" width="19.54296875" style="64" customWidth="1"/>
    <col min="7938" max="7938" width="14" style="64" customWidth="1"/>
    <col min="7939" max="7940" width="14.1796875" style="64" customWidth="1"/>
    <col min="7941" max="7941" width="14" style="64" customWidth="1"/>
    <col min="7942" max="7942" width="18" style="64" customWidth="1"/>
    <col min="7943" max="7943" width="14.54296875" style="64" customWidth="1"/>
    <col min="7944" max="7944" width="27.81640625" style="64" customWidth="1"/>
    <col min="7945" max="7945" width="17.54296875" style="64" customWidth="1"/>
    <col min="7946" max="7946" width="16.81640625" style="64" customWidth="1"/>
    <col min="7947" max="7948" width="16.54296875" style="64" customWidth="1"/>
    <col min="7949" max="7949" width="17.453125" style="64" customWidth="1"/>
    <col min="7950" max="7950" width="23.453125" style="64" customWidth="1"/>
    <col min="7951" max="7951" width="12.453125" style="64" customWidth="1"/>
    <col min="7952" max="8190" width="9.1796875" style="64"/>
    <col min="8191" max="8191" width="20.54296875" style="64" customWidth="1"/>
    <col min="8192" max="8192" width="48.81640625" style="64" customWidth="1"/>
    <col min="8193" max="8193" width="19.54296875" style="64" customWidth="1"/>
    <col min="8194" max="8194" width="14" style="64" customWidth="1"/>
    <col min="8195" max="8196" width="14.1796875" style="64" customWidth="1"/>
    <col min="8197" max="8197" width="14" style="64" customWidth="1"/>
    <col min="8198" max="8198" width="18" style="64" customWidth="1"/>
    <col min="8199" max="8199" width="14.54296875" style="64" customWidth="1"/>
    <col min="8200" max="8200" width="27.81640625" style="64" customWidth="1"/>
    <col min="8201" max="8201" width="17.54296875" style="64" customWidth="1"/>
    <col min="8202" max="8202" width="16.81640625" style="64" customWidth="1"/>
    <col min="8203" max="8204" width="16.54296875" style="64" customWidth="1"/>
    <col min="8205" max="8205" width="17.453125" style="64" customWidth="1"/>
    <col min="8206" max="8206" width="23.453125" style="64" customWidth="1"/>
    <col min="8207" max="8207" width="12.453125" style="64" customWidth="1"/>
    <col min="8208" max="8446" width="9.1796875" style="64"/>
    <col min="8447" max="8447" width="20.54296875" style="64" customWidth="1"/>
    <col min="8448" max="8448" width="48.81640625" style="64" customWidth="1"/>
    <col min="8449" max="8449" width="19.54296875" style="64" customWidth="1"/>
    <col min="8450" max="8450" width="14" style="64" customWidth="1"/>
    <col min="8451" max="8452" width="14.1796875" style="64" customWidth="1"/>
    <col min="8453" max="8453" width="14" style="64" customWidth="1"/>
    <col min="8454" max="8454" width="18" style="64" customWidth="1"/>
    <col min="8455" max="8455" width="14.54296875" style="64" customWidth="1"/>
    <col min="8456" max="8456" width="27.81640625" style="64" customWidth="1"/>
    <col min="8457" max="8457" width="17.54296875" style="64" customWidth="1"/>
    <col min="8458" max="8458" width="16.81640625" style="64" customWidth="1"/>
    <col min="8459" max="8460" width="16.54296875" style="64" customWidth="1"/>
    <col min="8461" max="8461" width="17.453125" style="64" customWidth="1"/>
    <col min="8462" max="8462" width="23.453125" style="64" customWidth="1"/>
    <col min="8463" max="8463" width="12.453125" style="64" customWidth="1"/>
    <col min="8464" max="8702" width="9.1796875" style="64"/>
    <col min="8703" max="8703" width="20.54296875" style="64" customWidth="1"/>
    <col min="8704" max="8704" width="48.81640625" style="64" customWidth="1"/>
    <col min="8705" max="8705" width="19.54296875" style="64" customWidth="1"/>
    <col min="8706" max="8706" width="14" style="64" customWidth="1"/>
    <col min="8707" max="8708" width="14.1796875" style="64" customWidth="1"/>
    <col min="8709" max="8709" width="14" style="64" customWidth="1"/>
    <col min="8710" max="8710" width="18" style="64" customWidth="1"/>
    <col min="8711" max="8711" width="14.54296875" style="64" customWidth="1"/>
    <col min="8712" max="8712" width="27.81640625" style="64" customWidth="1"/>
    <col min="8713" max="8713" width="17.54296875" style="64" customWidth="1"/>
    <col min="8714" max="8714" width="16.81640625" style="64" customWidth="1"/>
    <col min="8715" max="8716" width="16.54296875" style="64" customWidth="1"/>
    <col min="8717" max="8717" width="17.453125" style="64" customWidth="1"/>
    <col min="8718" max="8718" width="23.453125" style="64" customWidth="1"/>
    <col min="8719" max="8719" width="12.453125" style="64" customWidth="1"/>
    <col min="8720" max="8958" width="9.1796875" style="64"/>
    <col min="8959" max="8959" width="20.54296875" style="64" customWidth="1"/>
    <col min="8960" max="8960" width="48.81640625" style="64" customWidth="1"/>
    <col min="8961" max="8961" width="19.54296875" style="64" customWidth="1"/>
    <col min="8962" max="8962" width="14" style="64" customWidth="1"/>
    <col min="8963" max="8964" width="14.1796875" style="64" customWidth="1"/>
    <col min="8965" max="8965" width="14" style="64" customWidth="1"/>
    <col min="8966" max="8966" width="18" style="64" customWidth="1"/>
    <col min="8967" max="8967" width="14.54296875" style="64" customWidth="1"/>
    <col min="8968" max="8968" width="27.81640625" style="64" customWidth="1"/>
    <col min="8969" max="8969" width="17.54296875" style="64" customWidth="1"/>
    <col min="8970" max="8970" width="16.81640625" style="64" customWidth="1"/>
    <col min="8971" max="8972" width="16.54296875" style="64" customWidth="1"/>
    <col min="8973" max="8973" width="17.453125" style="64" customWidth="1"/>
    <col min="8974" max="8974" width="23.453125" style="64" customWidth="1"/>
    <col min="8975" max="8975" width="12.453125" style="64" customWidth="1"/>
    <col min="8976" max="9214" width="9.1796875" style="64"/>
    <col min="9215" max="9215" width="20.54296875" style="64" customWidth="1"/>
    <col min="9216" max="9216" width="48.81640625" style="64" customWidth="1"/>
    <col min="9217" max="9217" width="19.54296875" style="64" customWidth="1"/>
    <col min="9218" max="9218" width="14" style="64" customWidth="1"/>
    <col min="9219" max="9220" width="14.1796875" style="64" customWidth="1"/>
    <col min="9221" max="9221" width="14" style="64" customWidth="1"/>
    <col min="9222" max="9222" width="18" style="64" customWidth="1"/>
    <col min="9223" max="9223" width="14.54296875" style="64" customWidth="1"/>
    <col min="9224" max="9224" width="27.81640625" style="64" customWidth="1"/>
    <col min="9225" max="9225" width="17.54296875" style="64" customWidth="1"/>
    <col min="9226" max="9226" width="16.81640625" style="64" customWidth="1"/>
    <col min="9227" max="9228" width="16.54296875" style="64" customWidth="1"/>
    <col min="9229" max="9229" width="17.453125" style="64" customWidth="1"/>
    <col min="9230" max="9230" width="23.453125" style="64" customWidth="1"/>
    <col min="9231" max="9231" width="12.453125" style="64" customWidth="1"/>
    <col min="9232" max="9470" width="9.1796875" style="64"/>
    <col min="9471" max="9471" width="20.54296875" style="64" customWidth="1"/>
    <col min="9472" max="9472" width="48.81640625" style="64" customWidth="1"/>
    <col min="9473" max="9473" width="19.54296875" style="64" customWidth="1"/>
    <col min="9474" max="9474" width="14" style="64" customWidth="1"/>
    <col min="9475" max="9476" width="14.1796875" style="64" customWidth="1"/>
    <col min="9477" max="9477" width="14" style="64" customWidth="1"/>
    <col min="9478" max="9478" width="18" style="64" customWidth="1"/>
    <col min="9479" max="9479" width="14.54296875" style="64" customWidth="1"/>
    <col min="9480" max="9480" width="27.81640625" style="64" customWidth="1"/>
    <col min="9481" max="9481" width="17.54296875" style="64" customWidth="1"/>
    <col min="9482" max="9482" width="16.81640625" style="64" customWidth="1"/>
    <col min="9483" max="9484" width="16.54296875" style="64" customWidth="1"/>
    <col min="9485" max="9485" width="17.453125" style="64" customWidth="1"/>
    <col min="9486" max="9486" width="23.453125" style="64" customWidth="1"/>
    <col min="9487" max="9487" width="12.453125" style="64" customWidth="1"/>
    <col min="9488" max="9726" width="9.1796875" style="64"/>
    <col min="9727" max="9727" width="20.54296875" style="64" customWidth="1"/>
    <col min="9728" max="9728" width="48.81640625" style="64" customWidth="1"/>
    <col min="9729" max="9729" width="19.54296875" style="64" customWidth="1"/>
    <col min="9730" max="9730" width="14" style="64" customWidth="1"/>
    <col min="9731" max="9732" width="14.1796875" style="64" customWidth="1"/>
    <col min="9733" max="9733" width="14" style="64" customWidth="1"/>
    <col min="9734" max="9734" width="18" style="64" customWidth="1"/>
    <col min="9735" max="9735" width="14.54296875" style="64" customWidth="1"/>
    <col min="9736" max="9736" width="27.81640625" style="64" customWidth="1"/>
    <col min="9737" max="9737" width="17.54296875" style="64" customWidth="1"/>
    <col min="9738" max="9738" width="16.81640625" style="64" customWidth="1"/>
    <col min="9739" max="9740" width="16.54296875" style="64" customWidth="1"/>
    <col min="9741" max="9741" width="17.453125" style="64" customWidth="1"/>
    <col min="9742" max="9742" width="23.453125" style="64" customWidth="1"/>
    <col min="9743" max="9743" width="12.453125" style="64" customWidth="1"/>
    <col min="9744" max="9982" width="9.1796875" style="64"/>
    <col min="9983" max="9983" width="20.54296875" style="64" customWidth="1"/>
    <col min="9984" max="9984" width="48.81640625" style="64" customWidth="1"/>
    <col min="9985" max="9985" width="19.54296875" style="64" customWidth="1"/>
    <col min="9986" max="9986" width="14" style="64" customWidth="1"/>
    <col min="9987" max="9988" width="14.1796875" style="64" customWidth="1"/>
    <col min="9989" max="9989" width="14" style="64" customWidth="1"/>
    <col min="9990" max="9990" width="18" style="64" customWidth="1"/>
    <col min="9991" max="9991" width="14.54296875" style="64" customWidth="1"/>
    <col min="9992" max="9992" width="27.81640625" style="64" customWidth="1"/>
    <col min="9993" max="9993" width="17.54296875" style="64" customWidth="1"/>
    <col min="9994" max="9994" width="16.81640625" style="64" customWidth="1"/>
    <col min="9995" max="9996" width="16.54296875" style="64" customWidth="1"/>
    <col min="9997" max="9997" width="17.453125" style="64" customWidth="1"/>
    <col min="9998" max="9998" width="23.453125" style="64" customWidth="1"/>
    <col min="9999" max="9999" width="12.453125" style="64" customWidth="1"/>
    <col min="10000" max="10238" width="9.1796875" style="64"/>
    <col min="10239" max="10239" width="20.54296875" style="64" customWidth="1"/>
    <col min="10240" max="10240" width="48.81640625" style="64" customWidth="1"/>
    <col min="10241" max="10241" width="19.54296875" style="64" customWidth="1"/>
    <col min="10242" max="10242" width="14" style="64" customWidth="1"/>
    <col min="10243" max="10244" width="14.1796875" style="64" customWidth="1"/>
    <col min="10245" max="10245" width="14" style="64" customWidth="1"/>
    <col min="10246" max="10246" width="18" style="64" customWidth="1"/>
    <col min="10247" max="10247" width="14.54296875" style="64" customWidth="1"/>
    <col min="10248" max="10248" width="27.81640625" style="64" customWidth="1"/>
    <col min="10249" max="10249" width="17.54296875" style="64" customWidth="1"/>
    <col min="10250" max="10250" width="16.81640625" style="64" customWidth="1"/>
    <col min="10251" max="10252" width="16.54296875" style="64" customWidth="1"/>
    <col min="10253" max="10253" width="17.453125" style="64" customWidth="1"/>
    <col min="10254" max="10254" width="23.453125" style="64" customWidth="1"/>
    <col min="10255" max="10255" width="12.453125" style="64" customWidth="1"/>
    <col min="10256" max="10494" width="9.1796875" style="64"/>
    <col min="10495" max="10495" width="20.54296875" style="64" customWidth="1"/>
    <col min="10496" max="10496" width="48.81640625" style="64" customWidth="1"/>
    <col min="10497" max="10497" width="19.54296875" style="64" customWidth="1"/>
    <col min="10498" max="10498" width="14" style="64" customWidth="1"/>
    <col min="10499" max="10500" width="14.1796875" style="64" customWidth="1"/>
    <col min="10501" max="10501" width="14" style="64" customWidth="1"/>
    <col min="10502" max="10502" width="18" style="64" customWidth="1"/>
    <col min="10503" max="10503" width="14.54296875" style="64" customWidth="1"/>
    <col min="10504" max="10504" width="27.81640625" style="64" customWidth="1"/>
    <col min="10505" max="10505" width="17.54296875" style="64" customWidth="1"/>
    <col min="10506" max="10506" width="16.81640625" style="64" customWidth="1"/>
    <col min="10507" max="10508" width="16.54296875" style="64" customWidth="1"/>
    <col min="10509" max="10509" width="17.453125" style="64" customWidth="1"/>
    <col min="10510" max="10510" width="23.453125" style="64" customWidth="1"/>
    <col min="10511" max="10511" width="12.453125" style="64" customWidth="1"/>
    <col min="10512" max="10750" width="9.1796875" style="64"/>
    <col min="10751" max="10751" width="20.54296875" style="64" customWidth="1"/>
    <col min="10752" max="10752" width="48.81640625" style="64" customWidth="1"/>
    <col min="10753" max="10753" width="19.54296875" style="64" customWidth="1"/>
    <col min="10754" max="10754" width="14" style="64" customWidth="1"/>
    <col min="10755" max="10756" width="14.1796875" style="64" customWidth="1"/>
    <col min="10757" max="10757" width="14" style="64" customWidth="1"/>
    <col min="10758" max="10758" width="18" style="64" customWidth="1"/>
    <col min="10759" max="10759" width="14.54296875" style="64" customWidth="1"/>
    <col min="10760" max="10760" width="27.81640625" style="64" customWidth="1"/>
    <col min="10761" max="10761" width="17.54296875" style="64" customWidth="1"/>
    <col min="10762" max="10762" width="16.81640625" style="64" customWidth="1"/>
    <col min="10763" max="10764" width="16.54296875" style="64" customWidth="1"/>
    <col min="10765" max="10765" width="17.453125" style="64" customWidth="1"/>
    <col min="10766" max="10766" width="23.453125" style="64" customWidth="1"/>
    <col min="10767" max="10767" width="12.453125" style="64" customWidth="1"/>
    <col min="10768" max="11006" width="9.1796875" style="64"/>
    <col min="11007" max="11007" width="20.54296875" style="64" customWidth="1"/>
    <col min="11008" max="11008" width="48.81640625" style="64" customWidth="1"/>
    <col min="11009" max="11009" width="19.54296875" style="64" customWidth="1"/>
    <col min="11010" max="11010" width="14" style="64" customWidth="1"/>
    <col min="11011" max="11012" width="14.1796875" style="64" customWidth="1"/>
    <col min="11013" max="11013" width="14" style="64" customWidth="1"/>
    <col min="11014" max="11014" width="18" style="64" customWidth="1"/>
    <col min="11015" max="11015" width="14.54296875" style="64" customWidth="1"/>
    <col min="11016" max="11016" width="27.81640625" style="64" customWidth="1"/>
    <col min="11017" max="11017" width="17.54296875" style="64" customWidth="1"/>
    <col min="11018" max="11018" width="16.81640625" style="64" customWidth="1"/>
    <col min="11019" max="11020" width="16.54296875" style="64" customWidth="1"/>
    <col min="11021" max="11021" width="17.453125" style="64" customWidth="1"/>
    <col min="11022" max="11022" width="23.453125" style="64" customWidth="1"/>
    <col min="11023" max="11023" width="12.453125" style="64" customWidth="1"/>
    <col min="11024" max="11262" width="9.1796875" style="64"/>
    <col min="11263" max="11263" width="20.54296875" style="64" customWidth="1"/>
    <col min="11264" max="11264" width="48.81640625" style="64" customWidth="1"/>
    <col min="11265" max="11265" width="19.54296875" style="64" customWidth="1"/>
    <col min="11266" max="11266" width="14" style="64" customWidth="1"/>
    <col min="11267" max="11268" width="14.1796875" style="64" customWidth="1"/>
    <col min="11269" max="11269" width="14" style="64" customWidth="1"/>
    <col min="11270" max="11270" width="18" style="64" customWidth="1"/>
    <col min="11271" max="11271" width="14.54296875" style="64" customWidth="1"/>
    <col min="11272" max="11272" width="27.81640625" style="64" customWidth="1"/>
    <col min="11273" max="11273" width="17.54296875" style="64" customWidth="1"/>
    <col min="11274" max="11274" width="16.81640625" style="64" customWidth="1"/>
    <col min="11275" max="11276" width="16.54296875" style="64" customWidth="1"/>
    <col min="11277" max="11277" width="17.453125" style="64" customWidth="1"/>
    <col min="11278" max="11278" width="23.453125" style="64" customWidth="1"/>
    <col min="11279" max="11279" width="12.453125" style="64" customWidth="1"/>
    <col min="11280" max="11518" width="9.1796875" style="64"/>
    <col min="11519" max="11519" width="20.54296875" style="64" customWidth="1"/>
    <col min="11520" max="11520" width="48.81640625" style="64" customWidth="1"/>
    <col min="11521" max="11521" width="19.54296875" style="64" customWidth="1"/>
    <col min="11522" max="11522" width="14" style="64" customWidth="1"/>
    <col min="11523" max="11524" width="14.1796875" style="64" customWidth="1"/>
    <col min="11525" max="11525" width="14" style="64" customWidth="1"/>
    <col min="11526" max="11526" width="18" style="64" customWidth="1"/>
    <col min="11527" max="11527" width="14.54296875" style="64" customWidth="1"/>
    <col min="11528" max="11528" width="27.81640625" style="64" customWidth="1"/>
    <col min="11529" max="11529" width="17.54296875" style="64" customWidth="1"/>
    <col min="11530" max="11530" width="16.81640625" style="64" customWidth="1"/>
    <col min="11531" max="11532" width="16.54296875" style="64" customWidth="1"/>
    <col min="11533" max="11533" width="17.453125" style="64" customWidth="1"/>
    <col min="11534" max="11534" width="23.453125" style="64" customWidth="1"/>
    <col min="11535" max="11535" width="12.453125" style="64" customWidth="1"/>
    <col min="11536" max="11774" width="9.1796875" style="64"/>
    <col min="11775" max="11775" width="20.54296875" style="64" customWidth="1"/>
    <col min="11776" max="11776" width="48.81640625" style="64" customWidth="1"/>
    <col min="11777" max="11777" width="19.54296875" style="64" customWidth="1"/>
    <col min="11778" max="11778" width="14" style="64" customWidth="1"/>
    <col min="11779" max="11780" width="14.1796875" style="64" customWidth="1"/>
    <col min="11781" max="11781" width="14" style="64" customWidth="1"/>
    <col min="11782" max="11782" width="18" style="64" customWidth="1"/>
    <col min="11783" max="11783" width="14.54296875" style="64" customWidth="1"/>
    <col min="11784" max="11784" width="27.81640625" style="64" customWidth="1"/>
    <col min="11785" max="11785" width="17.54296875" style="64" customWidth="1"/>
    <col min="11786" max="11786" width="16.81640625" style="64" customWidth="1"/>
    <col min="11787" max="11788" width="16.54296875" style="64" customWidth="1"/>
    <col min="11789" max="11789" width="17.453125" style="64" customWidth="1"/>
    <col min="11790" max="11790" width="23.453125" style="64" customWidth="1"/>
    <col min="11791" max="11791" width="12.453125" style="64" customWidth="1"/>
    <col min="11792" max="12030" width="9.1796875" style="64"/>
    <col min="12031" max="12031" width="20.54296875" style="64" customWidth="1"/>
    <col min="12032" max="12032" width="48.81640625" style="64" customWidth="1"/>
    <col min="12033" max="12033" width="19.54296875" style="64" customWidth="1"/>
    <col min="12034" max="12034" width="14" style="64" customWidth="1"/>
    <col min="12035" max="12036" width="14.1796875" style="64" customWidth="1"/>
    <col min="12037" max="12037" width="14" style="64" customWidth="1"/>
    <col min="12038" max="12038" width="18" style="64" customWidth="1"/>
    <col min="12039" max="12039" width="14.54296875" style="64" customWidth="1"/>
    <col min="12040" max="12040" width="27.81640625" style="64" customWidth="1"/>
    <col min="12041" max="12041" width="17.54296875" style="64" customWidth="1"/>
    <col min="12042" max="12042" width="16.81640625" style="64" customWidth="1"/>
    <col min="12043" max="12044" width="16.54296875" style="64" customWidth="1"/>
    <col min="12045" max="12045" width="17.453125" style="64" customWidth="1"/>
    <col min="12046" max="12046" width="23.453125" style="64" customWidth="1"/>
    <col min="12047" max="12047" width="12.453125" style="64" customWidth="1"/>
    <col min="12048" max="12286" width="9.1796875" style="64"/>
    <col min="12287" max="12287" width="20.54296875" style="64" customWidth="1"/>
    <col min="12288" max="12288" width="48.81640625" style="64" customWidth="1"/>
    <col min="12289" max="12289" width="19.54296875" style="64" customWidth="1"/>
    <col min="12290" max="12290" width="14" style="64" customWidth="1"/>
    <col min="12291" max="12292" width="14.1796875" style="64" customWidth="1"/>
    <col min="12293" max="12293" width="14" style="64" customWidth="1"/>
    <col min="12294" max="12294" width="18" style="64" customWidth="1"/>
    <col min="12295" max="12295" width="14.54296875" style="64" customWidth="1"/>
    <col min="12296" max="12296" width="27.81640625" style="64" customWidth="1"/>
    <col min="12297" max="12297" width="17.54296875" style="64" customWidth="1"/>
    <col min="12298" max="12298" width="16.81640625" style="64" customWidth="1"/>
    <col min="12299" max="12300" width="16.54296875" style="64" customWidth="1"/>
    <col min="12301" max="12301" width="17.453125" style="64" customWidth="1"/>
    <col min="12302" max="12302" width="23.453125" style="64" customWidth="1"/>
    <col min="12303" max="12303" width="12.453125" style="64" customWidth="1"/>
    <col min="12304" max="12542" width="9.1796875" style="64"/>
    <col min="12543" max="12543" width="20.54296875" style="64" customWidth="1"/>
    <col min="12544" max="12544" width="48.81640625" style="64" customWidth="1"/>
    <col min="12545" max="12545" width="19.54296875" style="64" customWidth="1"/>
    <col min="12546" max="12546" width="14" style="64" customWidth="1"/>
    <col min="12547" max="12548" width="14.1796875" style="64" customWidth="1"/>
    <col min="12549" max="12549" width="14" style="64" customWidth="1"/>
    <col min="12550" max="12550" width="18" style="64" customWidth="1"/>
    <col min="12551" max="12551" width="14.54296875" style="64" customWidth="1"/>
    <col min="12552" max="12552" width="27.81640625" style="64" customWidth="1"/>
    <col min="12553" max="12553" width="17.54296875" style="64" customWidth="1"/>
    <col min="12554" max="12554" width="16.81640625" style="64" customWidth="1"/>
    <col min="12555" max="12556" width="16.54296875" style="64" customWidth="1"/>
    <col min="12557" max="12557" width="17.453125" style="64" customWidth="1"/>
    <col min="12558" max="12558" width="23.453125" style="64" customWidth="1"/>
    <col min="12559" max="12559" width="12.453125" style="64" customWidth="1"/>
    <col min="12560" max="12798" width="9.1796875" style="64"/>
    <col min="12799" max="12799" width="20.54296875" style="64" customWidth="1"/>
    <col min="12800" max="12800" width="48.81640625" style="64" customWidth="1"/>
    <col min="12801" max="12801" width="19.54296875" style="64" customWidth="1"/>
    <col min="12802" max="12802" width="14" style="64" customWidth="1"/>
    <col min="12803" max="12804" width="14.1796875" style="64" customWidth="1"/>
    <col min="12805" max="12805" width="14" style="64" customWidth="1"/>
    <col min="12806" max="12806" width="18" style="64" customWidth="1"/>
    <col min="12807" max="12807" width="14.54296875" style="64" customWidth="1"/>
    <col min="12808" max="12808" width="27.81640625" style="64" customWidth="1"/>
    <col min="12809" max="12809" width="17.54296875" style="64" customWidth="1"/>
    <col min="12810" max="12810" width="16.81640625" style="64" customWidth="1"/>
    <col min="12811" max="12812" width="16.54296875" style="64" customWidth="1"/>
    <col min="12813" max="12813" width="17.453125" style="64" customWidth="1"/>
    <col min="12814" max="12814" width="23.453125" style="64" customWidth="1"/>
    <col min="12815" max="12815" width="12.453125" style="64" customWidth="1"/>
    <col min="12816" max="13054" width="9.1796875" style="64"/>
    <col min="13055" max="13055" width="20.54296875" style="64" customWidth="1"/>
    <col min="13056" max="13056" width="48.81640625" style="64" customWidth="1"/>
    <col min="13057" max="13057" width="19.54296875" style="64" customWidth="1"/>
    <col min="13058" max="13058" width="14" style="64" customWidth="1"/>
    <col min="13059" max="13060" width="14.1796875" style="64" customWidth="1"/>
    <col min="13061" max="13061" width="14" style="64" customWidth="1"/>
    <col min="13062" max="13062" width="18" style="64" customWidth="1"/>
    <col min="13063" max="13063" width="14.54296875" style="64" customWidth="1"/>
    <col min="13064" max="13064" width="27.81640625" style="64" customWidth="1"/>
    <col min="13065" max="13065" width="17.54296875" style="64" customWidth="1"/>
    <col min="13066" max="13066" width="16.81640625" style="64" customWidth="1"/>
    <col min="13067" max="13068" width="16.54296875" style="64" customWidth="1"/>
    <col min="13069" max="13069" width="17.453125" style="64" customWidth="1"/>
    <col min="13070" max="13070" width="23.453125" style="64" customWidth="1"/>
    <col min="13071" max="13071" width="12.453125" style="64" customWidth="1"/>
    <col min="13072" max="13310" width="9.1796875" style="64"/>
    <col min="13311" max="13311" width="20.54296875" style="64" customWidth="1"/>
    <col min="13312" max="13312" width="48.81640625" style="64" customWidth="1"/>
    <col min="13313" max="13313" width="19.54296875" style="64" customWidth="1"/>
    <col min="13314" max="13314" width="14" style="64" customWidth="1"/>
    <col min="13315" max="13316" width="14.1796875" style="64" customWidth="1"/>
    <col min="13317" max="13317" width="14" style="64" customWidth="1"/>
    <col min="13318" max="13318" width="18" style="64" customWidth="1"/>
    <col min="13319" max="13319" width="14.54296875" style="64" customWidth="1"/>
    <col min="13320" max="13320" width="27.81640625" style="64" customWidth="1"/>
    <col min="13321" max="13321" width="17.54296875" style="64" customWidth="1"/>
    <col min="13322" max="13322" width="16.81640625" style="64" customWidth="1"/>
    <col min="13323" max="13324" width="16.54296875" style="64" customWidth="1"/>
    <col min="13325" max="13325" width="17.453125" style="64" customWidth="1"/>
    <col min="13326" max="13326" width="23.453125" style="64" customWidth="1"/>
    <col min="13327" max="13327" width="12.453125" style="64" customWidth="1"/>
    <col min="13328" max="13566" width="9.1796875" style="64"/>
    <col min="13567" max="13567" width="20.54296875" style="64" customWidth="1"/>
    <col min="13568" max="13568" width="48.81640625" style="64" customWidth="1"/>
    <col min="13569" max="13569" width="19.54296875" style="64" customWidth="1"/>
    <col min="13570" max="13570" width="14" style="64" customWidth="1"/>
    <col min="13571" max="13572" width="14.1796875" style="64" customWidth="1"/>
    <col min="13573" max="13573" width="14" style="64" customWidth="1"/>
    <col min="13574" max="13574" width="18" style="64" customWidth="1"/>
    <col min="13575" max="13575" width="14.54296875" style="64" customWidth="1"/>
    <col min="13576" max="13576" width="27.81640625" style="64" customWidth="1"/>
    <col min="13577" max="13577" width="17.54296875" style="64" customWidth="1"/>
    <col min="13578" max="13578" width="16.81640625" style="64" customWidth="1"/>
    <col min="13579" max="13580" width="16.54296875" style="64" customWidth="1"/>
    <col min="13581" max="13581" width="17.453125" style="64" customWidth="1"/>
    <col min="13582" max="13582" width="23.453125" style="64" customWidth="1"/>
    <col min="13583" max="13583" width="12.453125" style="64" customWidth="1"/>
    <col min="13584" max="13822" width="9.1796875" style="64"/>
    <col min="13823" max="13823" width="20.54296875" style="64" customWidth="1"/>
    <col min="13824" max="13824" width="48.81640625" style="64" customWidth="1"/>
    <col min="13825" max="13825" width="19.54296875" style="64" customWidth="1"/>
    <col min="13826" max="13826" width="14" style="64" customWidth="1"/>
    <col min="13827" max="13828" width="14.1796875" style="64" customWidth="1"/>
    <col min="13829" max="13829" width="14" style="64" customWidth="1"/>
    <col min="13830" max="13830" width="18" style="64" customWidth="1"/>
    <col min="13831" max="13831" width="14.54296875" style="64" customWidth="1"/>
    <col min="13832" max="13832" width="27.81640625" style="64" customWidth="1"/>
    <col min="13833" max="13833" width="17.54296875" style="64" customWidth="1"/>
    <col min="13834" max="13834" width="16.81640625" style="64" customWidth="1"/>
    <col min="13835" max="13836" width="16.54296875" style="64" customWidth="1"/>
    <col min="13837" max="13837" width="17.453125" style="64" customWidth="1"/>
    <col min="13838" max="13838" width="23.453125" style="64" customWidth="1"/>
    <col min="13839" max="13839" width="12.453125" style="64" customWidth="1"/>
    <col min="13840" max="14078" width="9.1796875" style="64"/>
    <col min="14079" max="14079" width="20.54296875" style="64" customWidth="1"/>
    <col min="14080" max="14080" width="48.81640625" style="64" customWidth="1"/>
    <col min="14081" max="14081" width="19.54296875" style="64" customWidth="1"/>
    <col min="14082" max="14082" width="14" style="64" customWidth="1"/>
    <col min="14083" max="14084" width="14.1796875" style="64" customWidth="1"/>
    <col min="14085" max="14085" width="14" style="64" customWidth="1"/>
    <col min="14086" max="14086" width="18" style="64" customWidth="1"/>
    <col min="14087" max="14087" width="14.54296875" style="64" customWidth="1"/>
    <col min="14088" max="14088" width="27.81640625" style="64" customWidth="1"/>
    <col min="14089" max="14089" width="17.54296875" style="64" customWidth="1"/>
    <col min="14090" max="14090" width="16.81640625" style="64" customWidth="1"/>
    <col min="14091" max="14092" width="16.54296875" style="64" customWidth="1"/>
    <col min="14093" max="14093" width="17.453125" style="64" customWidth="1"/>
    <col min="14094" max="14094" width="23.453125" style="64" customWidth="1"/>
    <col min="14095" max="14095" width="12.453125" style="64" customWidth="1"/>
    <col min="14096" max="14334" width="9.1796875" style="64"/>
    <col min="14335" max="14335" width="20.54296875" style="64" customWidth="1"/>
    <col min="14336" max="14336" width="48.81640625" style="64" customWidth="1"/>
    <col min="14337" max="14337" width="19.54296875" style="64" customWidth="1"/>
    <col min="14338" max="14338" width="14" style="64" customWidth="1"/>
    <col min="14339" max="14340" width="14.1796875" style="64" customWidth="1"/>
    <col min="14341" max="14341" width="14" style="64" customWidth="1"/>
    <col min="14342" max="14342" width="18" style="64" customWidth="1"/>
    <col min="14343" max="14343" width="14.54296875" style="64" customWidth="1"/>
    <col min="14344" max="14344" width="27.81640625" style="64" customWidth="1"/>
    <col min="14345" max="14345" width="17.54296875" style="64" customWidth="1"/>
    <col min="14346" max="14346" width="16.81640625" style="64" customWidth="1"/>
    <col min="14347" max="14348" width="16.54296875" style="64" customWidth="1"/>
    <col min="14349" max="14349" width="17.453125" style="64" customWidth="1"/>
    <col min="14350" max="14350" width="23.453125" style="64" customWidth="1"/>
    <col min="14351" max="14351" width="12.453125" style="64" customWidth="1"/>
    <col min="14352" max="14590" width="9.1796875" style="64"/>
    <col min="14591" max="14591" width="20.54296875" style="64" customWidth="1"/>
    <col min="14592" max="14592" width="48.81640625" style="64" customWidth="1"/>
    <col min="14593" max="14593" width="19.54296875" style="64" customWidth="1"/>
    <col min="14594" max="14594" width="14" style="64" customWidth="1"/>
    <col min="14595" max="14596" width="14.1796875" style="64" customWidth="1"/>
    <col min="14597" max="14597" width="14" style="64" customWidth="1"/>
    <col min="14598" max="14598" width="18" style="64" customWidth="1"/>
    <col min="14599" max="14599" width="14.54296875" style="64" customWidth="1"/>
    <col min="14600" max="14600" width="27.81640625" style="64" customWidth="1"/>
    <col min="14601" max="14601" width="17.54296875" style="64" customWidth="1"/>
    <col min="14602" max="14602" width="16.81640625" style="64" customWidth="1"/>
    <col min="14603" max="14604" width="16.54296875" style="64" customWidth="1"/>
    <col min="14605" max="14605" width="17.453125" style="64" customWidth="1"/>
    <col min="14606" max="14606" width="23.453125" style="64" customWidth="1"/>
    <col min="14607" max="14607" width="12.453125" style="64" customWidth="1"/>
    <col min="14608" max="14846" width="9.1796875" style="64"/>
    <col min="14847" max="14847" width="20.54296875" style="64" customWidth="1"/>
    <col min="14848" max="14848" width="48.81640625" style="64" customWidth="1"/>
    <col min="14849" max="14849" width="19.54296875" style="64" customWidth="1"/>
    <col min="14850" max="14850" width="14" style="64" customWidth="1"/>
    <col min="14851" max="14852" width="14.1796875" style="64" customWidth="1"/>
    <col min="14853" max="14853" width="14" style="64" customWidth="1"/>
    <col min="14854" max="14854" width="18" style="64" customWidth="1"/>
    <col min="14855" max="14855" width="14.54296875" style="64" customWidth="1"/>
    <col min="14856" max="14856" width="27.81640625" style="64" customWidth="1"/>
    <col min="14857" max="14857" width="17.54296875" style="64" customWidth="1"/>
    <col min="14858" max="14858" width="16.81640625" style="64" customWidth="1"/>
    <col min="14859" max="14860" width="16.54296875" style="64" customWidth="1"/>
    <col min="14861" max="14861" width="17.453125" style="64" customWidth="1"/>
    <col min="14862" max="14862" width="23.453125" style="64" customWidth="1"/>
    <col min="14863" max="14863" width="12.453125" style="64" customWidth="1"/>
    <col min="14864" max="15102" width="9.1796875" style="64"/>
    <col min="15103" max="15103" width="20.54296875" style="64" customWidth="1"/>
    <col min="15104" max="15104" width="48.81640625" style="64" customWidth="1"/>
    <col min="15105" max="15105" width="19.54296875" style="64" customWidth="1"/>
    <col min="15106" max="15106" width="14" style="64" customWidth="1"/>
    <col min="15107" max="15108" width="14.1796875" style="64" customWidth="1"/>
    <col min="15109" max="15109" width="14" style="64" customWidth="1"/>
    <col min="15110" max="15110" width="18" style="64" customWidth="1"/>
    <col min="15111" max="15111" width="14.54296875" style="64" customWidth="1"/>
    <col min="15112" max="15112" width="27.81640625" style="64" customWidth="1"/>
    <col min="15113" max="15113" width="17.54296875" style="64" customWidth="1"/>
    <col min="15114" max="15114" width="16.81640625" style="64" customWidth="1"/>
    <col min="15115" max="15116" width="16.54296875" style="64" customWidth="1"/>
    <col min="15117" max="15117" width="17.453125" style="64" customWidth="1"/>
    <col min="15118" max="15118" width="23.453125" style="64" customWidth="1"/>
    <col min="15119" max="15119" width="12.453125" style="64" customWidth="1"/>
    <col min="15120" max="15358" width="9.1796875" style="64"/>
    <col min="15359" max="15359" width="20.54296875" style="64" customWidth="1"/>
    <col min="15360" max="15360" width="48.81640625" style="64" customWidth="1"/>
    <col min="15361" max="15361" width="19.54296875" style="64" customWidth="1"/>
    <col min="15362" max="15362" width="14" style="64" customWidth="1"/>
    <col min="15363" max="15364" width="14.1796875" style="64" customWidth="1"/>
    <col min="15365" max="15365" width="14" style="64" customWidth="1"/>
    <col min="15366" max="15366" width="18" style="64" customWidth="1"/>
    <col min="15367" max="15367" width="14.54296875" style="64" customWidth="1"/>
    <col min="15368" max="15368" width="27.81640625" style="64" customWidth="1"/>
    <col min="15369" max="15369" width="17.54296875" style="64" customWidth="1"/>
    <col min="15370" max="15370" width="16.81640625" style="64" customWidth="1"/>
    <col min="15371" max="15372" width="16.54296875" style="64" customWidth="1"/>
    <col min="15373" max="15373" width="17.453125" style="64" customWidth="1"/>
    <col min="15374" max="15374" width="23.453125" style="64" customWidth="1"/>
    <col min="15375" max="15375" width="12.453125" style="64" customWidth="1"/>
    <col min="15376" max="15614" width="9.1796875" style="64"/>
    <col min="15615" max="15615" width="20.54296875" style="64" customWidth="1"/>
    <col min="15616" max="15616" width="48.81640625" style="64" customWidth="1"/>
    <col min="15617" max="15617" width="19.54296875" style="64" customWidth="1"/>
    <col min="15618" max="15618" width="14" style="64" customWidth="1"/>
    <col min="15619" max="15620" width="14.1796875" style="64" customWidth="1"/>
    <col min="15621" max="15621" width="14" style="64" customWidth="1"/>
    <col min="15622" max="15622" width="18" style="64" customWidth="1"/>
    <col min="15623" max="15623" width="14.54296875" style="64" customWidth="1"/>
    <col min="15624" max="15624" width="27.81640625" style="64" customWidth="1"/>
    <col min="15625" max="15625" width="17.54296875" style="64" customWidth="1"/>
    <col min="15626" max="15626" width="16.81640625" style="64" customWidth="1"/>
    <col min="15627" max="15628" width="16.54296875" style="64" customWidth="1"/>
    <col min="15629" max="15629" width="17.453125" style="64" customWidth="1"/>
    <col min="15630" max="15630" width="23.453125" style="64" customWidth="1"/>
    <col min="15631" max="15631" width="12.453125" style="64" customWidth="1"/>
    <col min="15632" max="15870" width="9.1796875" style="64"/>
    <col min="15871" max="15871" width="20.54296875" style="64" customWidth="1"/>
    <col min="15872" max="15872" width="48.81640625" style="64" customWidth="1"/>
    <col min="15873" max="15873" width="19.54296875" style="64" customWidth="1"/>
    <col min="15874" max="15874" width="14" style="64" customWidth="1"/>
    <col min="15875" max="15876" width="14.1796875" style="64" customWidth="1"/>
    <col min="15877" max="15877" width="14" style="64" customWidth="1"/>
    <col min="15878" max="15878" width="18" style="64" customWidth="1"/>
    <col min="15879" max="15879" width="14.54296875" style="64" customWidth="1"/>
    <col min="15880" max="15880" width="27.81640625" style="64" customWidth="1"/>
    <col min="15881" max="15881" width="17.54296875" style="64" customWidth="1"/>
    <col min="15882" max="15882" width="16.81640625" style="64" customWidth="1"/>
    <col min="15883" max="15884" width="16.54296875" style="64" customWidth="1"/>
    <col min="15885" max="15885" width="17.453125" style="64" customWidth="1"/>
    <col min="15886" max="15886" width="23.453125" style="64" customWidth="1"/>
    <col min="15887" max="15887" width="12.453125" style="64" customWidth="1"/>
    <col min="15888" max="16126" width="9.1796875" style="64"/>
    <col min="16127" max="16127" width="20.54296875" style="64" customWidth="1"/>
    <col min="16128" max="16128" width="48.81640625" style="64" customWidth="1"/>
    <col min="16129" max="16129" width="19.54296875" style="64" customWidth="1"/>
    <col min="16130" max="16130" width="14" style="64" customWidth="1"/>
    <col min="16131" max="16132" width="14.1796875" style="64" customWidth="1"/>
    <col min="16133" max="16133" width="14" style="64" customWidth="1"/>
    <col min="16134" max="16134" width="18" style="64" customWidth="1"/>
    <col min="16135" max="16135" width="14.54296875" style="64" customWidth="1"/>
    <col min="16136" max="16136" width="27.81640625" style="64" customWidth="1"/>
    <col min="16137" max="16137" width="17.54296875" style="64" customWidth="1"/>
    <col min="16138" max="16138" width="16.81640625" style="64" customWidth="1"/>
    <col min="16139" max="16140" width="16.54296875" style="64" customWidth="1"/>
    <col min="16141" max="16141" width="17.453125" style="64" customWidth="1"/>
    <col min="16142" max="16142" width="23.453125" style="64" customWidth="1"/>
    <col min="16143" max="16143" width="12.453125" style="64" customWidth="1"/>
    <col min="16144" max="16384" width="9.1796875" style="64"/>
  </cols>
  <sheetData>
    <row r="1" spans="1:36" x14ac:dyDescent="0.35">
      <c r="A1" s="63" t="s">
        <v>273</v>
      </c>
    </row>
    <row r="2" spans="1:36" x14ac:dyDescent="0.35">
      <c r="A2" s="95" t="s">
        <v>274</v>
      </c>
      <c r="B2" s="67"/>
      <c r="C2" s="66"/>
      <c r="D2" s="66"/>
      <c r="E2" s="66"/>
      <c r="F2" s="66"/>
    </row>
    <row r="3" spans="1:36" x14ac:dyDescent="0.35">
      <c r="A3" s="65"/>
      <c r="B3" s="67"/>
      <c r="C3" s="66"/>
      <c r="D3" s="66"/>
      <c r="E3" s="66"/>
      <c r="F3" s="66"/>
    </row>
    <row r="4" spans="1:36" x14ac:dyDescent="0.35">
      <c r="A4" s="63" t="s">
        <v>275</v>
      </c>
      <c r="B4" s="67"/>
      <c r="C4" s="66"/>
      <c r="D4" s="66"/>
      <c r="E4" s="66"/>
      <c r="F4" s="66"/>
    </row>
    <row r="5" spans="1:36" x14ac:dyDescent="0.35">
      <c r="A5" s="65"/>
      <c r="B5" s="67"/>
      <c r="C5" s="66"/>
      <c r="D5" s="66"/>
      <c r="E5" s="66"/>
      <c r="F5" s="66"/>
    </row>
    <row r="6" spans="1:36" x14ac:dyDescent="0.35">
      <c r="A6" s="65" t="s">
        <v>274</v>
      </c>
      <c r="B6" s="67"/>
      <c r="C6" s="66"/>
      <c r="D6" s="66"/>
      <c r="E6" s="66"/>
      <c r="F6" s="66"/>
    </row>
    <row r="7" spans="1:36" s="97" customFormat="1" x14ac:dyDescent="0.35">
      <c r="A7" s="96"/>
      <c r="B7" s="96"/>
      <c r="C7" s="96"/>
      <c r="D7" s="96"/>
      <c r="E7" s="96"/>
      <c r="F7" s="96"/>
      <c r="G7" s="96"/>
      <c r="H7" s="96"/>
      <c r="I7" s="96"/>
      <c r="J7" s="96"/>
      <c r="K7" s="96"/>
      <c r="L7" s="96"/>
    </row>
    <row r="8" spans="1:36" s="98" customFormat="1" x14ac:dyDescent="0.35">
      <c r="B8" s="99"/>
      <c r="C8" s="281" t="s">
        <v>220</v>
      </c>
      <c r="D8" s="286" t="s">
        <v>221</v>
      </c>
      <c r="E8" s="291"/>
      <c r="F8" s="292"/>
      <c r="G8" s="286" t="s">
        <v>222</v>
      </c>
      <c r="H8" s="284"/>
      <c r="I8" s="285"/>
      <c r="J8" s="287" t="s">
        <v>276</v>
      </c>
      <c r="K8" s="286" t="s">
        <v>277</v>
      </c>
      <c r="L8" s="289" t="s">
        <v>278</v>
      </c>
      <c r="M8" s="286" t="s">
        <v>279</v>
      </c>
      <c r="N8" s="284"/>
      <c r="O8" s="285"/>
      <c r="P8" s="287" t="s">
        <v>223</v>
      </c>
      <c r="Q8" s="281" t="s">
        <v>280</v>
      </c>
      <c r="R8" s="289" t="s">
        <v>281</v>
      </c>
    </row>
    <row r="9" spans="1:36" s="97" customFormat="1" ht="66" customHeight="1" x14ac:dyDescent="0.35">
      <c r="A9" s="96"/>
      <c r="B9" s="96"/>
      <c r="C9" s="282"/>
      <c r="D9" s="221"/>
      <c r="E9" s="219" t="s">
        <v>282</v>
      </c>
      <c r="F9" s="219" t="s">
        <v>283</v>
      </c>
      <c r="G9" s="222"/>
      <c r="H9" s="219" t="s">
        <v>282</v>
      </c>
      <c r="I9" s="219" t="s">
        <v>283</v>
      </c>
      <c r="J9" s="293"/>
      <c r="K9" s="294"/>
      <c r="L9" s="290"/>
      <c r="M9" s="100"/>
      <c r="N9" s="219" t="s">
        <v>282</v>
      </c>
      <c r="O9" s="219" t="s">
        <v>283</v>
      </c>
      <c r="P9" s="288"/>
      <c r="Q9" s="288"/>
      <c r="R9" s="290"/>
    </row>
    <row r="10" spans="1:36" s="97" customFormat="1" x14ac:dyDescent="0.35">
      <c r="A10" s="96"/>
      <c r="B10" s="96"/>
      <c r="C10" s="101" t="s">
        <v>183</v>
      </c>
      <c r="D10" s="101" t="s">
        <v>184</v>
      </c>
      <c r="E10" s="101" t="s">
        <v>185</v>
      </c>
      <c r="F10" s="101" t="s">
        <v>186</v>
      </c>
      <c r="G10" s="101" t="s">
        <v>187</v>
      </c>
      <c r="H10" s="101" t="s">
        <v>188</v>
      </c>
      <c r="I10" s="101" t="s">
        <v>189</v>
      </c>
      <c r="J10" s="101" t="s">
        <v>190</v>
      </c>
      <c r="K10" s="101" t="s">
        <v>191</v>
      </c>
      <c r="L10" s="101" t="s">
        <v>196</v>
      </c>
      <c r="M10" s="101" t="s">
        <v>197</v>
      </c>
      <c r="N10" s="101" t="s">
        <v>284</v>
      </c>
      <c r="O10" s="101" t="s">
        <v>285</v>
      </c>
      <c r="P10" s="101" t="s">
        <v>286</v>
      </c>
      <c r="Q10" s="101" t="s">
        <v>198</v>
      </c>
      <c r="R10" s="101" t="s">
        <v>227</v>
      </c>
      <c r="S10" s="96"/>
      <c r="T10" s="102"/>
      <c r="U10" s="102"/>
      <c r="V10" s="102"/>
      <c r="W10" s="102"/>
      <c r="X10" s="102"/>
      <c r="Y10" s="102"/>
      <c r="Z10" s="102"/>
      <c r="AA10" s="102"/>
      <c r="AB10" s="102"/>
      <c r="AC10" s="102"/>
      <c r="AD10" s="103"/>
      <c r="AE10" s="102"/>
    </row>
    <row r="11" spans="1:36" s="70" customFormat="1" x14ac:dyDescent="0.35">
      <c r="A11" s="104" t="s">
        <v>97</v>
      </c>
      <c r="B11" s="105" t="s">
        <v>7</v>
      </c>
      <c r="C11" s="106" t="s">
        <v>287</v>
      </c>
      <c r="D11" s="106" t="s">
        <v>287</v>
      </c>
      <c r="E11" s="69" t="s">
        <v>287</v>
      </c>
      <c r="F11" s="69" t="s">
        <v>287</v>
      </c>
      <c r="G11" s="106" t="s">
        <v>287</v>
      </c>
      <c r="H11" s="69" t="s">
        <v>287</v>
      </c>
      <c r="I11" s="69" t="s">
        <v>287</v>
      </c>
      <c r="J11" s="106" t="s">
        <v>287</v>
      </c>
      <c r="K11" s="106" t="s">
        <v>287</v>
      </c>
      <c r="L11" s="106" t="s">
        <v>287</v>
      </c>
      <c r="M11" s="106" t="s">
        <v>287</v>
      </c>
      <c r="N11" s="69" t="s">
        <v>287</v>
      </c>
      <c r="O11" s="69" t="s">
        <v>287</v>
      </c>
      <c r="P11" s="106" t="s">
        <v>287</v>
      </c>
      <c r="Q11" s="106" t="s">
        <v>287</v>
      </c>
      <c r="R11" s="106" t="s">
        <v>287</v>
      </c>
      <c r="V11" s="107"/>
      <c r="W11" s="107"/>
      <c r="X11" s="107"/>
      <c r="Y11" s="107"/>
      <c r="Z11" s="107"/>
      <c r="AA11" s="107"/>
      <c r="AB11" s="107"/>
      <c r="AC11" s="107"/>
      <c r="AD11" s="107"/>
      <c r="AE11" s="108"/>
      <c r="AF11" s="109"/>
    </row>
    <row r="12" spans="1:36" s="70" customFormat="1" ht="43.5" x14ac:dyDescent="0.35">
      <c r="A12" s="84" t="s">
        <v>288</v>
      </c>
      <c r="B12" s="105" t="s">
        <v>9</v>
      </c>
      <c r="C12" s="106" t="s">
        <v>287</v>
      </c>
      <c r="D12" s="106" t="s">
        <v>287</v>
      </c>
      <c r="E12" s="69" t="s">
        <v>287</v>
      </c>
      <c r="F12" s="69" t="s">
        <v>287</v>
      </c>
      <c r="G12" s="106" t="s">
        <v>287</v>
      </c>
      <c r="H12" s="69" t="s">
        <v>287</v>
      </c>
      <c r="I12" s="69" t="s">
        <v>287</v>
      </c>
      <c r="J12" s="106" t="s">
        <v>287</v>
      </c>
      <c r="K12" s="106" t="s">
        <v>287</v>
      </c>
      <c r="L12" s="106" t="s">
        <v>287</v>
      </c>
      <c r="M12" s="106" t="s">
        <v>287</v>
      </c>
      <c r="N12" s="69" t="s">
        <v>287</v>
      </c>
      <c r="O12" s="69" t="s">
        <v>287</v>
      </c>
      <c r="P12" s="106" t="s">
        <v>287</v>
      </c>
      <c r="Q12" s="106" t="s">
        <v>287</v>
      </c>
      <c r="R12" s="106" t="s">
        <v>287</v>
      </c>
      <c r="V12" s="107"/>
      <c r="W12" s="107"/>
      <c r="X12" s="107"/>
      <c r="Y12" s="107"/>
      <c r="AA12" s="107"/>
      <c r="AB12" s="107"/>
      <c r="AC12" s="107"/>
      <c r="AD12" s="107"/>
      <c r="AE12" s="108"/>
      <c r="AF12" s="109"/>
    </row>
    <row r="13" spans="1:36" x14ac:dyDescent="0.35">
      <c r="A13" s="104" t="s">
        <v>289</v>
      </c>
      <c r="B13" s="105"/>
      <c r="C13" s="69" t="s">
        <v>287</v>
      </c>
      <c r="D13" s="69" t="s">
        <v>287</v>
      </c>
      <c r="E13" s="69" t="s">
        <v>287</v>
      </c>
      <c r="F13" s="69" t="s">
        <v>287</v>
      </c>
      <c r="G13" s="69" t="s">
        <v>287</v>
      </c>
      <c r="H13" s="69" t="s">
        <v>287</v>
      </c>
      <c r="I13" s="69" t="s">
        <v>287</v>
      </c>
      <c r="J13" s="69" t="s">
        <v>287</v>
      </c>
      <c r="K13" s="69" t="s">
        <v>287</v>
      </c>
      <c r="L13" s="69" t="s">
        <v>287</v>
      </c>
      <c r="M13" s="69" t="s">
        <v>287</v>
      </c>
      <c r="N13" s="69" t="s">
        <v>287</v>
      </c>
      <c r="O13" s="69" t="s">
        <v>287</v>
      </c>
      <c r="P13" s="69" t="s">
        <v>287</v>
      </c>
      <c r="Q13" s="69" t="s">
        <v>287</v>
      </c>
      <c r="R13" s="69" t="s">
        <v>287</v>
      </c>
      <c r="S13" s="70"/>
      <c r="T13" s="70"/>
      <c r="U13" s="70"/>
      <c r="V13" s="107"/>
      <c r="W13" s="107"/>
      <c r="X13" s="107"/>
      <c r="Y13" s="107"/>
      <c r="Z13" s="70"/>
      <c r="AA13" s="107"/>
      <c r="AB13" s="107"/>
      <c r="AC13" s="107"/>
      <c r="AD13" s="107"/>
      <c r="AE13" s="108"/>
      <c r="AF13" s="109"/>
    </row>
    <row r="14" spans="1:36" x14ac:dyDescent="0.35">
      <c r="A14" s="74" t="s">
        <v>99</v>
      </c>
      <c r="B14" s="105"/>
      <c r="C14" s="69" t="s">
        <v>287</v>
      </c>
      <c r="D14" s="69" t="s">
        <v>287</v>
      </c>
      <c r="E14" s="69" t="s">
        <v>287</v>
      </c>
      <c r="F14" s="69" t="s">
        <v>287</v>
      </c>
      <c r="G14" s="69" t="s">
        <v>287</v>
      </c>
      <c r="H14" s="69" t="s">
        <v>287</v>
      </c>
      <c r="I14" s="69" t="s">
        <v>287</v>
      </c>
      <c r="J14" s="69" t="s">
        <v>287</v>
      </c>
      <c r="K14" s="69" t="s">
        <v>287</v>
      </c>
      <c r="L14" s="69" t="s">
        <v>287</v>
      </c>
      <c r="M14" s="69" t="s">
        <v>287</v>
      </c>
      <c r="N14" s="69" t="s">
        <v>287</v>
      </c>
      <c r="O14" s="69" t="s">
        <v>287</v>
      </c>
      <c r="P14" s="69" t="s">
        <v>287</v>
      </c>
      <c r="Q14" s="69" t="s">
        <v>287</v>
      </c>
      <c r="R14" s="69" t="s">
        <v>287</v>
      </c>
      <c r="S14" s="70"/>
      <c r="T14" s="70"/>
      <c r="U14" s="70"/>
      <c r="V14" s="107"/>
      <c r="W14" s="107"/>
      <c r="X14" s="107"/>
      <c r="Y14" s="107"/>
      <c r="Z14" s="70"/>
      <c r="AA14" s="107"/>
      <c r="AB14" s="107"/>
      <c r="AC14" s="107"/>
      <c r="AD14" s="107"/>
      <c r="AE14" s="108"/>
      <c r="AF14" s="109"/>
    </row>
    <row r="15" spans="1:36" s="115" customFormat="1" x14ac:dyDescent="0.35">
      <c r="A15" s="110" t="s">
        <v>290</v>
      </c>
      <c r="B15" s="105" t="s">
        <v>11</v>
      </c>
      <c r="C15" s="106" t="s">
        <v>287</v>
      </c>
      <c r="D15" s="69" t="s">
        <v>287</v>
      </c>
      <c r="E15" s="106" t="s">
        <v>287</v>
      </c>
      <c r="F15" s="106" t="s">
        <v>287</v>
      </c>
      <c r="G15" s="69" t="s">
        <v>287</v>
      </c>
      <c r="H15" s="106" t="s">
        <v>287</v>
      </c>
      <c r="I15" s="106" t="s">
        <v>287</v>
      </c>
      <c r="J15" s="111">
        <v>11021968.27091</v>
      </c>
      <c r="K15" s="111" t="s">
        <v>287</v>
      </c>
      <c r="L15" s="111">
        <v>11021968.27091</v>
      </c>
      <c r="M15" s="69" t="s">
        <v>287</v>
      </c>
      <c r="N15" s="106" t="s">
        <v>287</v>
      </c>
      <c r="O15" s="106" t="s">
        <v>287</v>
      </c>
      <c r="P15" s="111">
        <v>11892280.085280001</v>
      </c>
      <c r="Q15" s="111"/>
      <c r="R15" s="111">
        <v>11892280.085280001</v>
      </c>
      <c r="S15" s="70"/>
      <c r="T15" s="70"/>
      <c r="U15" s="70"/>
      <c r="V15" s="107"/>
      <c r="W15" s="107"/>
      <c r="X15" s="107"/>
      <c r="Y15" s="107"/>
      <c r="Z15" s="107"/>
      <c r="AA15" s="112"/>
      <c r="AB15" s="112"/>
      <c r="AC15" s="112"/>
      <c r="AD15" s="112"/>
      <c r="AE15" s="113"/>
      <c r="AF15" s="114"/>
    </row>
    <row r="16" spans="1:36" ht="29" x14ac:dyDescent="0.35">
      <c r="A16" s="72" t="s">
        <v>291</v>
      </c>
      <c r="B16" s="105" t="s">
        <v>21</v>
      </c>
      <c r="C16" s="106" t="s">
        <v>287</v>
      </c>
      <c r="D16" s="69" t="s">
        <v>287</v>
      </c>
      <c r="E16" s="106" t="s">
        <v>287</v>
      </c>
      <c r="F16" s="106" t="s">
        <v>287</v>
      </c>
      <c r="G16" s="69" t="s">
        <v>287</v>
      </c>
      <c r="H16" s="106" t="s">
        <v>287</v>
      </c>
      <c r="I16" s="106" t="s">
        <v>287</v>
      </c>
      <c r="J16" s="111" t="s">
        <v>287</v>
      </c>
      <c r="K16" s="111" t="s">
        <v>287</v>
      </c>
      <c r="L16" s="111" t="s">
        <v>287</v>
      </c>
      <c r="M16" s="69" t="s">
        <v>287</v>
      </c>
      <c r="N16" s="106" t="s">
        <v>287</v>
      </c>
      <c r="O16" s="106" t="s">
        <v>287</v>
      </c>
      <c r="P16" s="111" t="s">
        <v>287</v>
      </c>
      <c r="Q16" s="111"/>
      <c r="R16" s="111" t="s">
        <v>287</v>
      </c>
      <c r="S16" s="70"/>
      <c r="T16" s="70"/>
      <c r="U16" s="70"/>
      <c r="V16" s="107"/>
      <c r="W16" s="107"/>
      <c r="X16" s="107"/>
      <c r="Y16" s="107"/>
      <c r="Z16" s="70"/>
      <c r="AA16" s="116"/>
      <c r="AB16" s="107"/>
      <c r="AC16" s="107"/>
      <c r="AD16" s="107"/>
      <c r="AJ16" s="117"/>
    </row>
    <row r="17" spans="1:36" x14ac:dyDescent="0.35">
      <c r="A17" s="72" t="s">
        <v>292</v>
      </c>
      <c r="B17" s="105" t="s">
        <v>23</v>
      </c>
      <c r="C17" s="106" t="s">
        <v>287</v>
      </c>
      <c r="D17" s="69" t="s">
        <v>287</v>
      </c>
      <c r="E17" s="106" t="s">
        <v>287</v>
      </c>
      <c r="F17" s="106" t="s">
        <v>287</v>
      </c>
      <c r="G17" s="69" t="s">
        <v>287</v>
      </c>
      <c r="H17" s="106" t="s">
        <v>287</v>
      </c>
      <c r="I17" s="106" t="s">
        <v>287</v>
      </c>
      <c r="J17" s="111">
        <v>11021968.27091</v>
      </c>
      <c r="K17" s="111" t="s">
        <v>287</v>
      </c>
      <c r="L17" s="111">
        <v>11021968.27091</v>
      </c>
      <c r="M17" s="69" t="s">
        <v>287</v>
      </c>
      <c r="N17" s="106" t="s">
        <v>287</v>
      </c>
      <c r="O17" s="106" t="s">
        <v>287</v>
      </c>
      <c r="P17" s="111">
        <v>11892280.085280001</v>
      </c>
      <c r="Q17" s="111"/>
      <c r="R17" s="111">
        <v>11892280.085280001</v>
      </c>
      <c r="S17" s="118"/>
      <c r="T17" s="70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19"/>
      <c r="AF17" s="107"/>
      <c r="AJ17" s="117"/>
    </row>
    <row r="18" spans="1:36" x14ac:dyDescent="0.35">
      <c r="A18" s="74" t="s">
        <v>293</v>
      </c>
      <c r="B18" s="105" t="s">
        <v>25</v>
      </c>
      <c r="C18" s="106" t="s">
        <v>287</v>
      </c>
      <c r="D18" s="106" t="s">
        <v>287</v>
      </c>
      <c r="E18" s="69" t="s">
        <v>287</v>
      </c>
      <c r="F18" s="69" t="s">
        <v>287</v>
      </c>
      <c r="G18" s="106" t="s">
        <v>287</v>
      </c>
      <c r="H18" s="69" t="s">
        <v>287</v>
      </c>
      <c r="I18" s="69" t="s">
        <v>287</v>
      </c>
      <c r="J18" s="111">
        <v>210476.61343</v>
      </c>
      <c r="K18" s="111" t="s">
        <v>287</v>
      </c>
      <c r="L18" s="111">
        <v>210476.61343</v>
      </c>
      <c r="M18" s="106" t="s">
        <v>287</v>
      </c>
      <c r="N18" s="69" t="s">
        <v>287</v>
      </c>
      <c r="O18" s="69" t="s">
        <v>287</v>
      </c>
      <c r="P18" s="111">
        <v>292543.96064</v>
      </c>
      <c r="Q18" s="111"/>
      <c r="R18" s="111">
        <v>292543.96064</v>
      </c>
      <c r="S18" s="70"/>
      <c r="T18" s="70"/>
      <c r="U18" s="70"/>
      <c r="V18" s="107"/>
      <c r="W18" s="107"/>
      <c r="X18" s="107"/>
      <c r="Y18" s="107"/>
      <c r="Z18" s="107"/>
      <c r="AA18" s="107"/>
      <c r="AB18" s="107"/>
      <c r="AC18" s="107"/>
      <c r="AD18" s="107"/>
      <c r="AE18" s="108"/>
      <c r="AF18" s="109"/>
    </row>
    <row r="19" spans="1:36" x14ac:dyDescent="0.35">
      <c r="A19" s="74" t="s">
        <v>294</v>
      </c>
      <c r="B19" s="105"/>
      <c r="C19" s="69" t="s">
        <v>287</v>
      </c>
      <c r="D19" s="69" t="s">
        <v>287</v>
      </c>
      <c r="E19" s="69" t="s">
        <v>287</v>
      </c>
      <c r="F19" s="69" t="s">
        <v>287</v>
      </c>
      <c r="G19" s="69" t="s">
        <v>287</v>
      </c>
      <c r="H19" s="69" t="s">
        <v>287</v>
      </c>
      <c r="I19" s="69" t="s">
        <v>287</v>
      </c>
      <c r="J19" s="69" t="s">
        <v>287</v>
      </c>
      <c r="K19" s="69" t="s">
        <v>287</v>
      </c>
      <c r="L19" s="69" t="s">
        <v>287</v>
      </c>
      <c r="M19" s="69" t="s">
        <v>287</v>
      </c>
      <c r="N19" s="69" t="s">
        <v>287</v>
      </c>
      <c r="O19" s="69" t="s">
        <v>287</v>
      </c>
      <c r="P19" s="69" t="s">
        <v>287</v>
      </c>
      <c r="Q19" s="69"/>
      <c r="R19" s="69" t="s">
        <v>287</v>
      </c>
      <c r="S19" s="70"/>
      <c r="T19" s="70"/>
      <c r="U19" s="70"/>
      <c r="V19" s="107"/>
      <c r="W19" s="107"/>
      <c r="X19" s="107"/>
      <c r="Y19" s="107"/>
      <c r="Z19" s="70"/>
      <c r="AA19" s="107"/>
      <c r="AB19" s="107"/>
      <c r="AC19" s="107"/>
      <c r="AD19" s="107"/>
      <c r="AE19" s="108"/>
      <c r="AF19" s="109"/>
    </row>
    <row r="20" spans="1:36" x14ac:dyDescent="0.35">
      <c r="A20" s="72" t="s">
        <v>295</v>
      </c>
      <c r="B20" s="105" t="s">
        <v>27</v>
      </c>
      <c r="C20" s="106" t="s">
        <v>287</v>
      </c>
      <c r="D20" s="106" t="s">
        <v>287</v>
      </c>
      <c r="E20" s="69" t="s">
        <v>287</v>
      </c>
      <c r="F20" s="69" t="s">
        <v>287</v>
      </c>
      <c r="G20" s="106" t="s">
        <v>287</v>
      </c>
      <c r="H20" s="69" t="s">
        <v>287</v>
      </c>
      <c r="I20" s="69" t="s">
        <v>287</v>
      </c>
      <c r="J20" s="111" t="s">
        <v>287</v>
      </c>
      <c r="K20" s="111" t="s">
        <v>287</v>
      </c>
      <c r="L20" s="111" t="s">
        <v>287</v>
      </c>
      <c r="M20" s="120" t="s">
        <v>287</v>
      </c>
      <c r="N20" s="69" t="s">
        <v>287</v>
      </c>
      <c r="O20" s="69" t="s">
        <v>287</v>
      </c>
      <c r="P20" s="111" t="s">
        <v>287</v>
      </c>
      <c r="Q20" s="111"/>
      <c r="R20" s="111" t="s">
        <v>287</v>
      </c>
      <c r="S20" s="118"/>
      <c r="T20" s="70"/>
      <c r="U20" s="107"/>
      <c r="V20" s="107"/>
      <c r="W20" s="107"/>
      <c r="X20" s="107"/>
      <c r="Z20" s="107"/>
      <c r="AE20" s="119"/>
      <c r="AF20" s="109"/>
    </row>
    <row r="21" spans="1:36" x14ac:dyDescent="0.35">
      <c r="A21" s="72" t="s">
        <v>296</v>
      </c>
      <c r="B21" s="105" t="s">
        <v>29</v>
      </c>
      <c r="C21" s="106" t="s">
        <v>287</v>
      </c>
      <c r="D21" s="69" t="s">
        <v>287</v>
      </c>
      <c r="E21" s="106" t="s">
        <v>287</v>
      </c>
      <c r="F21" s="106" t="s">
        <v>287</v>
      </c>
      <c r="G21" s="69" t="s">
        <v>287</v>
      </c>
      <c r="H21" s="106" t="s">
        <v>287</v>
      </c>
      <c r="I21" s="106" t="s">
        <v>287</v>
      </c>
      <c r="J21" s="111" t="s">
        <v>287</v>
      </c>
      <c r="K21" s="111" t="s">
        <v>287</v>
      </c>
      <c r="L21" s="111" t="s">
        <v>287</v>
      </c>
      <c r="M21" s="69" t="s">
        <v>287</v>
      </c>
      <c r="N21" s="106" t="s">
        <v>287</v>
      </c>
      <c r="O21" s="106" t="s">
        <v>287</v>
      </c>
      <c r="P21" s="111" t="s">
        <v>287</v>
      </c>
      <c r="Q21" s="111"/>
      <c r="R21" s="111" t="s">
        <v>287</v>
      </c>
      <c r="S21" s="118"/>
      <c r="T21" s="70"/>
      <c r="U21" s="107"/>
      <c r="V21" s="107"/>
      <c r="W21" s="107"/>
      <c r="X21" s="107"/>
      <c r="Y21" s="112"/>
      <c r="Z21" s="107"/>
      <c r="AA21" s="107"/>
      <c r="AB21" s="107"/>
      <c r="AC21" s="107"/>
      <c r="AD21" s="107"/>
      <c r="AE21" s="119"/>
      <c r="AF21" s="109"/>
    </row>
    <row r="22" spans="1:36" x14ac:dyDescent="0.35">
      <c r="A22" s="72" t="s">
        <v>101</v>
      </c>
      <c r="B22" s="105" t="s">
        <v>31</v>
      </c>
      <c r="C22" s="106" t="s">
        <v>287</v>
      </c>
      <c r="D22" s="106" t="s">
        <v>287</v>
      </c>
      <c r="E22" s="69" t="s">
        <v>287</v>
      </c>
      <c r="F22" s="69" t="s">
        <v>287</v>
      </c>
      <c r="G22" s="121" t="s">
        <v>287</v>
      </c>
      <c r="H22" s="69" t="s">
        <v>287</v>
      </c>
      <c r="I22" s="69" t="s">
        <v>287</v>
      </c>
      <c r="J22" s="111" t="s">
        <v>287</v>
      </c>
      <c r="K22" s="111" t="s">
        <v>287</v>
      </c>
      <c r="L22" s="111" t="s">
        <v>287</v>
      </c>
      <c r="M22" s="106" t="s">
        <v>287</v>
      </c>
      <c r="N22" s="69" t="s">
        <v>287</v>
      </c>
      <c r="O22" s="69" t="s">
        <v>287</v>
      </c>
      <c r="P22" s="111" t="s">
        <v>287</v>
      </c>
      <c r="Q22" s="111"/>
      <c r="R22" s="111" t="s">
        <v>287</v>
      </c>
      <c r="S22" s="118"/>
      <c r="T22" s="70"/>
      <c r="U22" s="107"/>
      <c r="V22" s="107"/>
      <c r="W22" s="107"/>
      <c r="X22" s="107"/>
      <c r="Y22" s="112"/>
      <c r="Z22" s="107"/>
      <c r="AA22" s="107"/>
      <c r="AB22" s="107"/>
      <c r="AC22" s="107"/>
      <c r="AD22" s="107"/>
      <c r="AE22" s="107"/>
      <c r="AF22" s="109"/>
    </row>
    <row r="23" spans="1:36" s="115" customFormat="1" x14ac:dyDescent="0.35">
      <c r="A23" s="122" t="s">
        <v>297</v>
      </c>
      <c r="B23" s="105" t="s">
        <v>45</v>
      </c>
      <c r="C23" s="106" t="s">
        <v>287</v>
      </c>
      <c r="D23" s="106" t="s">
        <v>287</v>
      </c>
      <c r="E23" s="69" t="s">
        <v>287</v>
      </c>
      <c r="F23" s="69" t="s">
        <v>287</v>
      </c>
      <c r="G23" s="106" t="s">
        <v>287</v>
      </c>
      <c r="H23" s="69" t="s">
        <v>287</v>
      </c>
      <c r="I23" s="69" t="s">
        <v>287</v>
      </c>
      <c r="J23" s="111">
        <v>11232444.884339999</v>
      </c>
      <c r="K23" s="111" t="s">
        <v>287</v>
      </c>
      <c r="L23" s="111">
        <v>11232444.884339999</v>
      </c>
      <c r="M23" s="106" t="s">
        <v>287</v>
      </c>
      <c r="N23" s="69" t="s">
        <v>287</v>
      </c>
      <c r="O23" s="69" t="s">
        <v>287</v>
      </c>
      <c r="P23" s="111">
        <v>12184824.045919999</v>
      </c>
      <c r="Q23" s="111"/>
      <c r="R23" s="111">
        <v>12184824.045919999</v>
      </c>
      <c r="S23" s="70"/>
      <c r="T23" s="70"/>
      <c r="U23" s="70"/>
      <c r="V23" s="107"/>
      <c r="W23" s="107"/>
      <c r="X23" s="107"/>
      <c r="Y23" s="107"/>
      <c r="Z23" s="70"/>
      <c r="AA23" s="112"/>
      <c r="AB23" s="112"/>
      <c r="AC23" s="112"/>
      <c r="AD23" s="107"/>
    </row>
    <row r="24" spans="1:36" s="73" customFormat="1" x14ac:dyDescent="0.35">
      <c r="A24" s="115"/>
      <c r="B24" s="115"/>
      <c r="C24" s="123"/>
      <c r="D24" s="123"/>
      <c r="E24" s="123"/>
      <c r="F24" s="123"/>
      <c r="G24" s="123"/>
      <c r="H24" s="123"/>
      <c r="I24" s="123"/>
      <c r="J24" s="123"/>
      <c r="K24" s="123"/>
      <c r="L24" s="123"/>
      <c r="M24" s="123"/>
      <c r="N24" s="123"/>
      <c r="O24" s="123"/>
      <c r="P24" s="123"/>
      <c r="Q24" s="123"/>
      <c r="R24" s="123"/>
      <c r="S24" s="115"/>
      <c r="T24" s="124"/>
      <c r="U24" s="124"/>
      <c r="V24" s="125"/>
      <c r="W24" s="112"/>
      <c r="X24" s="126"/>
      <c r="Y24" s="127"/>
      <c r="Z24" s="127"/>
      <c r="AA24" s="128"/>
      <c r="AB24" s="113"/>
      <c r="AC24" s="129"/>
      <c r="AD24" s="130"/>
      <c r="AF24" s="115"/>
    </row>
    <row r="25" spans="1:36" s="73" customFormat="1" x14ac:dyDescent="0.35">
      <c r="C25" s="123"/>
      <c r="D25" s="123"/>
      <c r="E25" s="123"/>
      <c r="F25" s="123"/>
      <c r="G25" s="123"/>
      <c r="H25" s="123"/>
      <c r="I25" s="123"/>
      <c r="J25" s="123"/>
      <c r="K25" s="123"/>
      <c r="L25" s="123"/>
      <c r="M25" s="123"/>
      <c r="N25" s="123"/>
      <c r="O25" s="123"/>
      <c r="P25" s="123"/>
      <c r="Q25" s="123"/>
      <c r="R25" s="123"/>
      <c r="T25" s="124"/>
      <c r="U25" s="124"/>
      <c r="V25" s="125"/>
      <c r="W25" s="112"/>
      <c r="X25" s="126"/>
      <c r="Y25" s="127"/>
      <c r="Z25" s="127"/>
      <c r="AA25" s="128"/>
      <c r="AB25" s="113"/>
      <c r="AC25" s="129"/>
      <c r="AD25" s="130"/>
    </row>
    <row r="26" spans="1:36" s="73" customFormat="1" x14ac:dyDescent="0.35">
      <c r="C26" s="123"/>
      <c r="D26" s="123"/>
      <c r="E26" s="123"/>
      <c r="F26" s="123"/>
      <c r="G26" s="123"/>
      <c r="H26" s="123"/>
      <c r="I26" s="123"/>
      <c r="J26" s="123"/>
      <c r="K26" s="123"/>
      <c r="L26" s="123"/>
      <c r="M26" s="123"/>
      <c r="N26" s="123"/>
      <c r="O26" s="123"/>
      <c r="P26" s="123"/>
      <c r="Q26" s="123"/>
      <c r="R26" s="123"/>
      <c r="T26" s="124"/>
      <c r="U26" s="124"/>
      <c r="V26" s="125"/>
      <c r="W26" s="112"/>
      <c r="X26" s="126"/>
      <c r="Y26" s="127"/>
      <c r="Z26" s="127"/>
      <c r="AA26" s="128"/>
      <c r="AB26" s="113"/>
      <c r="AC26" s="129"/>
      <c r="AD26" s="130"/>
    </row>
    <row r="27" spans="1:36" s="73" customFormat="1" x14ac:dyDescent="0.35">
      <c r="C27" s="131"/>
      <c r="D27" s="131"/>
      <c r="E27" s="131"/>
      <c r="F27" s="131"/>
      <c r="G27" s="131"/>
      <c r="H27" s="131"/>
      <c r="I27" s="131"/>
      <c r="J27" s="131"/>
      <c r="K27" s="131"/>
      <c r="L27" s="131"/>
      <c r="M27" s="131"/>
      <c r="N27" s="131"/>
      <c r="O27" s="131"/>
      <c r="P27" s="131"/>
      <c r="Q27" s="131"/>
      <c r="R27" s="131"/>
      <c r="T27" s="124"/>
      <c r="U27" s="124"/>
      <c r="V27" s="125"/>
      <c r="W27" s="112"/>
      <c r="X27" s="126"/>
      <c r="Y27" s="127"/>
      <c r="Z27" s="127"/>
      <c r="AA27" s="128"/>
      <c r="AB27" s="113"/>
      <c r="AC27" s="129"/>
      <c r="AD27" s="130"/>
    </row>
    <row r="28" spans="1:36" x14ac:dyDescent="0.35">
      <c r="C28" s="132"/>
      <c r="D28" s="132"/>
      <c r="E28" s="132"/>
      <c r="F28" s="132"/>
      <c r="G28" s="132"/>
      <c r="H28" s="132"/>
      <c r="I28" s="132"/>
      <c r="J28" s="132"/>
      <c r="K28" s="132"/>
      <c r="L28" s="132"/>
      <c r="M28" s="132"/>
      <c r="N28" s="132"/>
      <c r="O28" s="132"/>
      <c r="P28" s="132"/>
      <c r="Q28" s="132"/>
      <c r="R28" s="132"/>
      <c r="S28" s="132"/>
      <c r="T28" s="132"/>
      <c r="U28" s="132"/>
      <c r="V28" s="76"/>
      <c r="W28" s="76"/>
      <c r="X28" s="76"/>
      <c r="Y28" s="133"/>
      <c r="Z28" s="133"/>
      <c r="AA28" s="107"/>
      <c r="AB28" s="134"/>
      <c r="AC28" s="117"/>
      <c r="AD28" s="135"/>
      <c r="AE28" s="108"/>
      <c r="AF28" s="114"/>
      <c r="AG28" s="136"/>
    </row>
    <row r="29" spans="1:36" x14ac:dyDescent="0.35">
      <c r="M29" s="64"/>
      <c r="P29" s="94"/>
      <c r="V29" s="76"/>
      <c r="W29" s="76"/>
      <c r="X29" s="76"/>
      <c r="Y29" s="133"/>
      <c r="Z29" s="133"/>
      <c r="AA29" s="107"/>
      <c r="AB29" s="134"/>
      <c r="AC29" s="117"/>
      <c r="AD29" s="135"/>
      <c r="AE29" s="108"/>
      <c r="AF29" s="114"/>
      <c r="AG29" s="136"/>
    </row>
    <row r="30" spans="1:36" x14ac:dyDescent="0.35">
      <c r="M30" s="64"/>
      <c r="P30" s="94"/>
      <c r="V30" s="76"/>
      <c r="W30" s="76"/>
      <c r="X30" s="76"/>
      <c r="Y30" s="133"/>
      <c r="Z30" s="133"/>
      <c r="AA30" s="107"/>
      <c r="AB30" s="134"/>
      <c r="AC30" s="117"/>
      <c r="AD30" s="135"/>
      <c r="AE30" s="108"/>
      <c r="AF30" s="109"/>
      <c r="AG30" s="133"/>
    </row>
    <row r="31" spans="1:36" x14ac:dyDescent="0.35">
      <c r="M31" s="64"/>
      <c r="P31" s="94"/>
      <c r="V31" s="76"/>
      <c r="W31" s="76"/>
      <c r="X31" s="76"/>
      <c r="Y31" s="133"/>
      <c r="Z31" s="133"/>
      <c r="AA31" s="107"/>
      <c r="AB31" s="134"/>
      <c r="AC31" s="117"/>
      <c r="AD31" s="135"/>
      <c r="AE31" s="108"/>
      <c r="AF31" s="114"/>
      <c r="AG31" s="136"/>
    </row>
    <row r="32" spans="1:36" x14ac:dyDescent="0.35">
      <c r="M32" s="64"/>
      <c r="P32" s="94"/>
      <c r="V32" s="76"/>
      <c r="W32" s="76"/>
      <c r="X32" s="76"/>
      <c r="Y32" s="133"/>
      <c r="Z32" s="133"/>
      <c r="AA32" s="107"/>
      <c r="AB32" s="134"/>
      <c r="AC32" s="117"/>
      <c r="AD32" s="135"/>
      <c r="AE32" s="108"/>
      <c r="AF32" s="109"/>
      <c r="AG32" s="133"/>
    </row>
    <row r="33" spans="1:33" x14ac:dyDescent="0.35">
      <c r="A33" s="67"/>
      <c r="M33" s="64"/>
      <c r="P33" s="94"/>
      <c r="V33" s="76"/>
      <c r="W33" s="76"/>
      <c r="X33" s="76"/>
      <c r="Y33" s="133"/>
      <c r="Z33" s="133"/>
      <c r="AA33" s="107"/>
      <c r="AB33" s="134"/>
      <c r="AC33" s="117"/>
      <c r="AD33" s="135"/>
      <c r="AE33" s="108"/>
      <c r="AF33" s="114"/>
      <c r="AG33" s="136"/>
    </row>
    <row r="34" spans="1:33" x14ac:dyDescent="0.35">
      <c r="A34" s="137"/>
      <c r="T34" s="76"/>
      <c r="U34" s="76"/>
      <c r="V34" s="133"/>
      <c r="W34" s="107"/>
      <c r="X34" s="134"/>
      <c r="Y34" s="117"/>
      <c r="Z34" s="117"/>
      <c r="AA34" s="135"/>
      <c r="AB34" s="108"/>
      <c r="AC34" s="114"/>
      <c r="AD34" s="136"/>
      <c r="AE34" s="70"/>
      <c r="AF34" s="70"/>
    </row>
    <row r="35" spans="1:33" x14ac:dyDescent="0.35">
      <c r="A35" s="67"/>
      <c r="T35" s="76"/>
      <c r="U35" s="76"/>
      <c r="V35" s="133"/>
      <c r="W35" s="107"/>
      <c r="X35" s="134"/>
      <c r="Y35" s="117"/>
      <c r="Z35" s="117"/>
      <c r="AA35" s="128"/>
      <c r="AB35" s="108"/>
      <c r="AC35" s="114"/>
      <c r="AD35" s="136"/>
    </row>
    <row r="36" spans="1:33" x14ac:dyDescent="0.35">
      <c r="A36" s="138"/>
      <c r="T36" s="76"/>
      <c r="U36" s="76"/>
      <c r="V36" s="133"/>
      <c r="W36" s="107"/>
      <c r="X36" s="134"/>
      <c r="Y36" s="117"/>
      <c r="Z36" s="117"/>
      <c r="AA36" s="135"/>
      <c r="AB36" s="108"/>
      <c r="AC36" s="109"/>
      <c r="AD36" s="133"/>
    </row>
    <row r="37" spans="1:33" x14ac:dyDescent="0.35">
      <c r="A37" s="139"/>
      <c r="T37" s="76"/>
      <c r="U37" s="76"/>
      <c r="V37" s="133"/>
      <c r="W37" s="107"/>
      <c r="X37" s="134"/>
      <c r="Y37" s="117"/>
      <c r="Z37" s="117"/>
      <c r="AA37" s="135"/>
      <c r="AB37" s="108"/>
      <c r="AC37" s="109"/>
      <c r="AD37" s="133"/>
    </row>
    <row r="38" spans="1:33" x14ac:dyDescent="0.35">
      <c r="A38" s="140"/>
      <c r="T38" s="76"/>
      <c r="U38" s="76"/>
      <c r="V38" s="133"/>
      <c r="W38" s="107"/>
      <c r="X38" s="134"/>
      <c r="Y38" s="117"/>
      <c r="Z38" s="117"/>
      <c r="AA38" s="135"/>
      <c r="AB38" s="108"/>
      <c r="AC38" s="109"/>
      <c r="AD38" s="133"/>
      <c r="AE38" s="70"/>
      <c r="AF38" s="70"/>
    </row>
    <row r="39" spans="1:33" x14ac:dyDescent="0.35">
      <c r="A39" s="140"/>
      <c r="T39" s="76"/>
      <c r="U39" s="76"/>
      <c r="V39" s="133"/>
      <c r="W39" s="107"/>
      <c r="X39" s="134"/>
      <c r="Y39" s="117"/>
      <c r="Z39" s="117"/>
      <c r="AA39" s="135"/>
      <c r="AB39" s="108"/>
      <c r="AC39" s="114"/>
      <c r="AD39" s="133"/>
      <c r="AF39" s="70"/>
    </row>
    <row r="40" spans="1:33" x14ac:dyDescent="0.35">
      <c r="A40" s="138"/>
      <c r="T40" s="76"/>
      <c r="U40" s="76"/>
      <c r="V40" s="133"/>
      <c r="W40" s="107"/>
      <c r="X40" s="134"/>
      <c r="Y40" s="117"/>
      <c r="Z40" s="117"/>
      <c r="AA40" s="135"/>
      <c r="AB40" s="108"/>
      <c r="AC40" s="114"/>
      <c r="AD40" s="133"/>
      <c r="AF40" s="70"/>
    </row>
    <row r="41" spans="1:33" x14ac:dyDescent="0.35">
      <c r="A41" s="138"/>
      <c r="T41" s="76"/>
      <c r="U41" s="76"/>
      <c r="V41" s="133"/>
      <c r="W41" s="107"/>
      <c r="X41" s="134"/>
      <c r="Y41" s="117"/>
      <c r="Z41" s="117"/>
      <c r="AA41" s="135"/>
      <c r="AB41" s="108"/>
      <c r="AC41" s="109"/>
      <c r="AD41" s="133"/>
      <c r="AE41" s="70"/>
      <c r="AF41" s="70"/>
    </row>
    <row r="42" spans="1:33" x14ac:dyDescent="0.35">
      <c r="A42" s="140"/>
      <c r="T42" s="76"/>
      <c r="U42" s="76"/>
      <c r="V42" s="133"/>
      <c r="W42" s="107"/>
      <c r="X42" s="134"/>
      <c r="Y42" s="117"/>
      <c r="Z42" s="117"/>
      <c r="AA42" s="135"/>
      <c r="AB42" s="108"/>
      <c r="AC42" s="109"/>
      <c r="AD42" s="133"/>
      <c r="AE42" s="70"/>
      <c r="AF42" s="70"/>
    </row>
    <row r="43" spans="1:33" x14ac:dyDescent="0.35">
      <c r="A43" s="140"/>
      <c r="T43" s="76"/>
      <c r="U43" s="76"/>
      <c r="V43" s="133"/>
      <c r="W43" s="107"/>
      <c r="X43" s="134"/>
      <c r="Y43" s="117"/>
      <c r="Z43" s="117"/>
      <c r="AA43" s="135"/>
      <c r="AB43" s="108"/>
      <c r="AC43" s="109"/>
      <c r="AD43" s="133"/>
      <c r="AE43" s="70"/>
      <c r="AF43" s="70"/>
    </row>
    <row r="44" spans="1:33" x14ac:dyDescent="0.35">
      <c r="A44" s="140"/>
      <c r="T44" s="76"/>
      <c r="U44" s="76"/>
      <c r="V44" s="133"/>
      <c r="W44" s="107"/>
      <c r="X44" s="134"/>
      <c r="Y44" s="117"/>
      <c r="Z44" s="117"/>
      <c r="AA44" s="135"/>
      <c r="AB44" s="108"/>
      <c r="AC44" s="114"/>
      <c r="AD44" s="136"/>
      <c r="AF44" s="70"/>
    </row>
    <row r="45" spans="1:33" x14ac:dyDescent="0.35">
      <c r="A45" s="141"/>
      <c r="T45" s="76"/>
      <c r="U45" s="76"/>
      <c r="V45" s="133"/>
      <c r="W45" s="107"/>
      <c r="X45" s="134"/>
      <c r="Y45" s="117"/>
      <c r="Z45" s="117"/>
      <c r="AA45" s="135"/>
      <c r="AB45" s="108"/>
      <c r="AC45" s="114"/>
      <c r="AD45" s="133"/>
      <c r="AF45" s="70"/>
    </row>
    <row r="46" spans="1:33" x14ac:dyDescent="0.35">
      <c r="T46" s="76"/>
      <c r="U46" s="76"/>
      <c r="V46" s="133"/>
      <c r="W46" s="107"/>
      <c r="X46" s="134"/>
      <c r="Y46" s="117"/>
      <c r="Z46" s="117"/>
      <c r="AA46" s="135"/>
      <c r="AB46" s="108"/>
      <c r="AC46" s="109"/>
      <c r="AD46" s="133"/>
      <c r="AE46" s="70"/>
      <c r="AF46" s="70"/>
    </row>
    <row r="47" spans="1:33" x14ac:dyDescent="0.35">
      <c r="T47" s="76"/>
      <c r="U47" s="76"/>
      <c r="V47" s="133"/>
      <c r="W47" s="107"/>
      <c r="X47" s="134"/>
      <c r="Y47" s="117"/>
      <c r="Z47" s="117"/>
      <c r="AA47" s="135"/>
      <c r="AB47" s="108"/>
      <c r="AC47" s="109"/>
      <c r="AD47" s="133"/>
      <c r="AE47" s="70"/>
      <c r="AF47" s="70"/>
    </row>
    <row r="48" spans="1:33" x14ac:dyDescent="0.35">
      <c r="T48" s="76"/>
      <c r="U48" s="76"/>
      <c r="V48" s="133"/>
      <c r="W48" s="107"/>
      <c r="X48" s="134"/>
      <c r="Y48" s="117"/>
      <c r="Z48" s="117"/>
      <c r="AA48" s="135"/>
      <c r="AB48" s="108"/>
      <c r="AC48" s="109"/>
      <c r="AD48" s="133"/>
      <c r="AE48" s="70"/>
      <c r="AF48" s="70"/>
    </row>
    <row r="49" spans="20:32" x14ac:dyDescent="0.35">
      <c r="T49" s="76"/>
      <c r="U49" s="76"/>
      <c r="V49" s="133"/>
      <c r="W49" s="107"/>
      <c r="X49" s="134"/>
      <c r="Y49" s="117"/>
      <c r="Z49" s="117"/>
      <c r="AA49" s="135"/>
      <c r="AB49" s="108"/>
      <c r="AC49" s="109"/>
      <c r="AD49" s="133"/>
      <c r="AE49" s="70"/>
      <c r="AF49" s="70"/>
    </row>
    <row r="50" spans="20:32" x14ac:dyDescent="0.35">
      <c r="T50" s="76"/>
      <c r="U50" s="76"/>
      <c r="V50" s="133"/>
      <c r="W50" s="107"/>
      <c r="X50" s="134"/>
      <c r="Y50" s="117"/>
      <c r="Z50" s="117"/>
      <c r="AA50" s="135"/>
      <c r="AB50" s="108"/>
      <c r="AC50" s="109"/>
      <c r="AD50" s="133"/>
      <c r="AE50" s="70"/>
      <c r="AF50" s="70"/>
    </row>
    <row r="51" spans="20:32" x14ac:dyDescent="0.35">
      <c r="T51" s="76"/>
      <c r="U51" s="76"/>
      <c r="V51" s="133"/>
      <c r="W51" s="107"/>
      <c r="X51" s="134"/>
      <c r="Y51" s="117"/>
      <c r="Z51" s="117"/>
      <c r="AA51" s="135"/>
      <c r="AB51" s="108"/>
      <c r="AC51" s="114"/>
      <c r="AD51" s="136"/>
      <c r="AF51" s="70"/>
    </row>
    <row r="52" spans="20:32" x14ac:dyDescent="0.35">
      <c r="T52" s="76"/>
      <c r="U52" s="76"/>
      <c r="V52" s="133"/>
      <c r="W52" s="107"/>
      <c r="X52" s="134"/>
      <c r="Y52" s="117"/>
      <c r="Z52" s="117"/>
      <c r="AA52" s="135"/>
      <c r="AB52" s="108"/>
      <c r="AC52" s="109"/>
      <c r="AD52" s="133"/>
      <c r="AE52" s="70"/>
      <c r="AF52" s="70"/>
    </row>
    <row r="53" spans="20:32" x14ac:dyDescent="0.35">
      <c r="T53" s="76"/>
      <c r="U53" s="76"/>
      <c r="V53" s="133"/>
      <c r="W53" s="107"/>
      <c r="X53" s="134"/>
      <c r="Y53" s="117"/>
      <c r="Z53" s="117"/>
      <c r="AA53" s="135"/>
      <c r="AB53" s="108"/>
      <c r="AC53" s="109"/>
      <c r="AD53" s="133"/>
      <c r="AE53" s="70"/>
      <c r="AF53" s="70"/>
    </row>
    <row r="54" spans="20:32" x14ac:dyDescent="0.35">
      <c r="T54" s="76"/>
      <c r="U54" s="76"/>
      <c r="V54" s="133"/>
      <c r="W54" s="107"/>
      <c r="X54" s="134"/>
      <c r="Y54" s="117"/>
      <c r="Z54" s="117"/>
      <c r="AA54" s="135"/>
      <c r="AB54" s="108"/>
      <c r="AC54" s="109"/>
      <c r="AD54" s="133"/>
      <c r="AE54" s="70"/>
      <c r="AF54" s="70"/>
    </row>
    <row r="55" spans="20:32" x14ac:dyDescent="0.35">
      <c r="T55" s="76"/>
      <c r="U55" s="76"/>
      <c r="V55" s="133"/>
      <c r="W55" s="107"/>
      <c r="X55" s="134"/>
      <c r="Y55" s="117"/>
      <c r="Z55" s="117"/>
      <c r="AA55" s="135"/>
      <c r="AB55" s="108"/>
      <c r="AC55" s="109"/>
      <c r="AD55" s="133"/>
      <c r="AE55" s="70"/>
      <c r="AF55" s="70"/>
    </row>
    <row r="56" spans="20:32" x14ac:dyDescent="0.35">
      <c r="T56" s="76"/>
      <c r="U56" s="76"/>
      <c r="V56" s="133"/>
      <c r="W56" s="107"/>
      <c r="X56" s="134"/>
      <c r="Y56" s="117"/>
      <c r="Z56" s="117"/>
      <c r="AA56" s="135"/>
      <c r="AB56" s="108"/>
      <c r="AC56" s="114"/>
      <c r="AD56" s="136"/>
      <c r="AF56" s="70"/>
    </row>
    <row r="57" spans="20:32" x14ac:dyDescent="0.35">
      <c r="T57" s="76"/>
      <c r="U57" s="76"/>
      <c r="V57" s="133"/>
      <c r="W57" s="107"/>
      <c r="X57" s="134"/>
      <c r="Y57" s="117"/>
      <c r="Z57" s="117"/>
      <c r="AA57" s="135"/>
      <c r="AB57" s="108"/>
      <c r="AC57" s="114"/>
      <c r="AD57" s="136"/>
      <c r="AF57" s="70"/>
    </row>
    <row r="58" spans="20:32" x14ac:dyDescent="0.35">
      <c r="T58" s="76"/>
      <c r="U58" s="76"/>
      <c r="V58" s="133"/>
      <c r="W58" s="107"/>
      <c r="X58" s="134"/>
      <c r="Y58" s="117"/>
      <c r="Z58" s="117"/>
      <c r="AA58" s="135"/>
      <c r="AB58" s="108"/>
      <c r="AC58" s="114"/>
      <c r="AD58" s="136"/>
      <c r="AF58" s="70"/>
    </row>
    <row r="59" spans="20:32" x14ac:dyDescent="0.35">
      <c r="T59" s="76"/>
      <c r="U59" s="76"/>
      <c r="V59" s="133"/>
      <c r="W59" s="107"/>
      <c r="X59" s="134"/>
      <c r="Y59" s="117"/>
      <c r="Z59" s="117"/>
      <c r="AA59" s="135"/>
      <c r="AB59" s="108"/>
      <c r="AC59" s="114"/>
      <c r="AD59" s="136"/>
      <c r="AF59" s="70"/>
    </row>
    <row r="60" spans="20:32" x14ac:dyDescent="0.35">
      <c r="T60" s="76"/>
      <c r="U60" s="76"/>
      <c r="V60" s="133"/>
      <c r="W60" s="107"/>
      <c r="X60" s="134"/>
      <c r="Y60" s="117"/>
      <c r="Z60" s="117"/>
      <c r="AA60" s="135"/>
      <c r="AB60" s="108"/>
      <c r="AC60" s="114"/>
      <c r="AD60" s="136"/>
      <c r="AF60" s="70"/>
    </row>
    <row r="61" spans="20:32" x14ac:dyDescent="0.35">
      <c r="T61" s="76"/>
      <c r="U61" s="76"/>
      <c r="V61" s="133"/>
      <c r="W61" s="107"/>
      <c r="X61" s="134"/>
      <c r="Y61" s="117"/>
      <c r="Z61" s="117"/>
      <c r="AA61" s="135"/>
      <c r="AB61" s="108"/>
      <c r="AC61" s="114"/>
      <c r="AD61" s="136"/>
      <c r="AF61" s="70"/>
    </row>
    <row r="62" spans="20:32" x14ac:dyDescent="0.35">
      <c r="T62" s="76"/>
      <c r="U62" s="76"/>
      <c r="V62" s="133"/>
      <c r="W62" s="107"/>
      <c r="X62" s="134"/>
      <c r="Y62" s="117"/>
      <c r="Z62" s="117"/>
      <c r="AA62" s="135"/>
      <c r="AB62" s="108"/>
      <c r="AC62" s="109"/>
      <c r="AD62" s="133"/>
      <c r="AE62" s="70"/>
      <c r="AF62" s="70"/>
    </row>
    <row r="63" spans="20:32" x14ac:dyDescent="0.35">
      <c r="T63" s="76"/>
      <c r="U63" s="76"/>
      <c r="V63" s="133"/>
      <c r="W63" s="107"/>
      <c r="X63" s="134"/>
      <c r="Y63" s="117"/>
      <c r="Z63" s="117"/>
      <c r="AA63" s="135"/>
      <c r="AB63" s="108"/>
      <c r="AC63" s="109"/>
      <c r="AD63" s="133"/>
      <c r="AE63" s="70"/>
      <c r="AF63" s="70"/>
    </row>
    <row r="64" spans="20:32" x14ac:dyDescent="0.35">
      <c r="T64" s="76"/>
      <c r="U64" s="76"/>
      <c r="V64" s="142"/>
      <c r="W64" s="107"/>
      <c r="X64" s="134"/>
      <c r="Y64" s="117"/>
      <c r="Z64" s="117"/>
      <c r="AA64" s="135"/>
      <c r="AB64" s="108"/>
      <c r="AC64" s="109"/>
      <c r="AD64" s="133"/>
      <c r="AE64" s="70"/>
      <c r="AF64" s="70"/>
    </row>
    <row r="65" spans="20:32" x14ac:dyDescent="0.35">
      <c r="T65" s="76"/>
      <c r="U65" s="76"/>
      <c r="V65" s="133"/>
      <c r="W65" s="107"/>
      <c r="X65" s="134"/>
      <c r="Y65" s="117"/>
      <c r="Z65" s="117"/>
      <c r="AA65" s="135"/>
      <c r="AB65" s="108"/>
      <c r="AC65" s="114"/>
      <c r="AD65" s="136"/>
      <c r="AF65" s="70"/>
    </row>
    <row r="66" spans="20:32" x14ac:dyDescent="0.35">
      <c r="T66" s="76"/>
      <c r="U66" s="76"/>
      <c r="V66" s="133"/>
      <c r="W66" s="107"/>
      <c r="X66" s="134"/>
      <c r="Y66" s="117"/>
      <c r="Z66" s="117"/>
      <c r="AA66" s="135"/>
      <c r="AB66" s="108"/>
      <c r="AC66" s="109"/>
      <c r="AD66" s="133"/>
      <c r="AE66" s="70"/>
      <c r="AF66" s="70"/>
    </row>
    <row r="67" spans="20:32" x14ac:dyDescent="0.35">
      <c r="T67" s="76"/>
      <c r="U67" s="76"/>
      <c r="V67" s="133"/>
      <c r="W67" s="107"/>
      <c r="X67" s="134"/>
      <c r="Y67" s="117"/>
      <c r="Z67" s="117"/>
      <c r="AA67" s="135"/>
      <c r="AB67" s="108"/>
      <c r="AC67" s="109"/>
      <c r="AD67" s="133"/>
      <c r="AE67" s="70"/>
      <c r="AF67" s="70"/>
    </row>
  </sheetData>
  <mergeCells count="10">
    <mergeCell ref="M8:O8"/>
    <mergeCell ref="P8:P9"/>
    <mergeCell ref="Q8:Q9"/>
    <mergeCell ref="R8:R9"/>
    <mergeCell ref="C8:C9"/>
    <mergeCell ref="D8:F8"/>
    <mergeCell ref="G8:I8"/>
    <mergeCell ref="J8:J9"/>
    <mergeCell ref="K8:K9"/>
    <mergeCell ref="L8:L9"/>
  </mergeCells>
  <pageMargins left="0.74803149606299213" right="0.74803149606299213" top="0.98425196850393704" bottom="0.98425196850393704" header="0.51181102362204722" footer="0.51181102362204722"/>
  <pageSetup paperSize="9" scale="50" fitToWidth="2" orientation="landscape" cellComments="asDisplayed" r:id="rId1"/>
  <headerFooter alignWithMargins="0">
    <oddHeader>&amp;A</oddHeader>
    <oddFooter>&amp;L&amp;F&amp;CPage &amp;P&amp;R&amp;D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245D63-1D7C-43AA-959E-6551C7D0E804}">
  <sheetPr>
    <pageSetUpPr fitToPage="1"/>
  </sheetPr>
  <dimension ref="A1:AI35"/>
  <sheetViews>
    <sheetView showGridLines="0" topLeftCell="A7" zoomScale="70" zoomScaleNormal="70" workbookViewId="0">
      <selection activeCell="W44" sqref="W44"/>
    </sheetView>
  </sheetViews>
  <sheetFormatPr defaultColWidth="9.1796875" defaultRowHeight="14.5" x14ac:dyDescent="0.35"/>
  <cols>
    <col min="1" max="1" width="82.453125" style="143" customWidth="1"/>
    <col min="2" max="2" width="6.453125" style="143" bestFit="1" customWidth="1"/>
    <col min="3" max="18" width="23.54296875" style="143" hidden="1" customWidth="1"/>
    <col min="19" max="19" width="23.54296875" style="143" customWidth="1"/>
    <col min="20" max="20" width="23.453125" style="143" bestFit="1" customWidth="1"/>
    <col min="21" max="21" width="14" style="143" bestFit="1" customWidth="1"/>
    <col min="22" max="22" width="16.453125" style="143" bestFit="1" customWidth="1"/>
    <col min="23" max="23" width="11.1796875" style="143" bestFit="1" customWidth="1"/>
    <col min="24" max="24" width="56.54296875" style="143" bestFit="1" customWidth="1"/>
    <col min="25" max="25" width="89.54296875" style="143" bestFit="1" customWidth="1"/>
    <col min="26" max="26" width="28.81640625" style="143" bestFit="1" customWidth="1"/>
    <col min="27" max="27" width="51" style="143" bestFit="1" customWidth="1"/>
    <col min="28" max="16384" width="9.1796875" style="143"/>
  </cols>
  <sheetData>
    <row r="1" spans="1:33" x14ac:dyDescent="0.35">
      <c r="A1" s="63" t="s">
        <v>298</v>
      </c>
    </row>
    <row r="2" spans="1:33" x14ac:dyDescent="0.35">
      <c r="A2" s="95" t="s">
        <v>299</v>
      </c>
    </row>
    <row r="3" spans="1:33" x14ac:dyDescent="0.35">
      <c r="A3" s="95"/>
    </row>
    <row r="4" spans="1:33" x14ac:dyDescent="0.35">
      <c r="A4" s="63" t="s">
        <v>300</v>
      </c>
    </row>
    <row r="5" spans="1:33" x14ac:dyDescent="0.35">
      <c r="C5" s="144"/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</row>
    <row r="6" spans="1:33" x14ac:dyDescent="0.35">
      <c r="A6" s="65" t="s">
        <v>299</v>
      </c>
      <c r="C6" s="144"/>
      <c r="D6" s="144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</row>
    <row r="7" spans="1:33" x14ac:dyDescent="0.35">
      <c r="C7" s="144"/>
      <c r="D7" s="144"/>
      <c r="E7" s="144"/>
      <c r="F7" s="144"/>
      <c r="G7" s="144"/>
      <c r="H7" s="144"/>
      <c r="I7" s="144"/>
      <c r="J7" s="144"/>
      <c r="K7" s="144"/>
      <c r="L7" s="144"/>
      <c r="M7" s="144"/>
      <c r="N7" s="144"/>
      <c r="O7" s="144"/>
      <c r="P7" s="144"/>
      <c r="Q7" s="144"/>
      <c r="R7" s="144"/>
    </row>
    <row r="8" spans="1:33" x14ac:dyDescent="0.35">
      <c r="C8" s="295" t="s">
        <v>301</v>
      </c>
      <c r="D8" s="295"/>
      <c r="E8" s="295"/>
      <c r="F8" s="295"/>
      <c r="G8" s="295"/>
      <c r="H8" s="295"/>
      <c r="I8" s="295"/>
      <c r="J8" s="295"/>
      <c r="K8" s="295"/>
      <c r="L8" s="295"/>
      <c r="M8" s="295"/>
      <c r="N8" s="295"/>
      <c r="O8" s="296" t="s">
        <v>302</v>
      </c>
      <c r="P8" s="297"/>
      <c r="Q8" s="297"/>
      <c r="R8" s="298"/>
      <c r="S8" s="299" t="s">
        <v>303</v>
      </c>
      <c r="T8" s="145"/>
    </row>
    <row r="9" spans="1:33" ht="43.5" x14ac:dyDescent="0.35">
      <c r="C9" s="225" t="s">
        <v>167</v>
      </c>
      <c r="D9" s="225" t="s">
        <v>304</v>
      </c>
      <c r="E9" s="225" t="s">
        <v>169</v>
      </c>
      <c r="F9" s="225" t="s">
        <v>170</v>
      </c>
      <c r="G9" s="225" t="s">
        <v>171</v>
      </c>
      <c r="H9" s="225" t="s">
        <v>172</v>
      </c>
      <c r="I9" s="225" t="s">
        <v>173</v>
      </c>
      <c r="J9" s="225" t="s">
        <v>174</v>
      </c>
      <c r="K9" s="225" t="s">
        <v>175</v>
      </c>
      <c r="L9" s="225" t="s">
        <v>176</v>
      </c>
      <c r="M9" s="225" t="s">
        <v>177</v>
      </c>
      <c r="N9" s="225" t="s">
        <v>178</v>
      </c>
      <c r="O9" s="220" t="s">
        <v>305</v>
      </c>
      <c r="P9" s="146" t="s">
        <v>306</v>
      </c>
      <c r="Q9" s="224" t="s">
        <v>307</v>
      </c>
      <c r="R9" s="220" t="s">
        <v>308</v>
      </c>
      <c r="S9" s="300"/>
      <c r="T9" s="147"/>
      <c r="V9" s="148"/>
      <c r="W9" s="148"/>
      <c r="X9" s="148"/>
      <c r="Y9" s="148"/>
      <c r="Z9" s="148"/>
    </row>
    <row r="10" spans="1:33" x14ac:dyDescent="0.35">
      <c r="C10" s="149" t="s">
        <v>183</v>
      </c>
      <c r="D10" s="149" t="s">
        <v>184</v>
      </c>
      <c r="E10" s="149" t="s">
        <v>185</v>
      </c>
      <c r="F10" s="149" t="s">
        <v>186</v>
      </c>
      <c r="G10" s="149" t="s">
        <v>187</v>
      </c>
      <c r="H10" s="149" t="s">
        <v>188</v>
      </c>
      <c r="I10" s="149" t="s">
        <v>189</v>
      </c>
      <c r="J10" s="149" t="s">
        <v>190</v>
      </c>
      <c r="K10" s="149" t="s">
        <v>191</v>
      </c>
      <c r="L10" s="149" t="s">
        <v>192</v>
      </c>
      <c r="M10" s="149" t="s">
        <v>193</v>
      </c>
      <c r="N10" s="149" t="s">
        <v>194</v>
      </c>
      <c r="O10" s="149" t="s">
        <v>195</v>
      </c>
      <c r="P10" s="149" t="s">
        <v>196</v>
      </c>
      <c r="Q10" s="149" t="s">
        <v>197</v>
      </c>
      <c r="R10" s="149" t="s">
        <v>284</v>
      </c>
      <c r="S10" s="149" t="s">
        <v>285</v>
      </c>
      <c r="T10" s="150"/>
      <c r="U10" s="150"/>
      <c r="V10" s="148"/>
      <c r="W10" s="148"/>
      <c r="X10" s="148"/>
      <c r="Y10" s="148"/>
      <c r="Z10" s="148"/>
    </row>
    <row r="11" spans="1:33" x14ac:dyDescent="0.35">
      <c r="A11" s="104" t="s">
        <v>97</v>
      </c>
      <c r="B11" s="149" t="s">
        <v>7</v>
      </c>
      <c r="C11" s="75" t="s">
        <v>287</v>
      </c>
      <c r="D11" s="75" t="s">
        <v>287</v>
      </c>
      <c r="E11" s="75" t="s">
        <v>287</v>
      </c>
      <c r="F11" s="75" t="s">
        <v>287</v>
      </c>
      <c r="G11" s="75" t="s">
        <v>287</v>
      </c>
      <c r="H11" s="75" t="s">
        <v>287</v>
      </c>
      <c r="I11" s="75" t="s">
        <v>287</v>
      </c>
      <c r="J11" s="75" t="s">
        <v>287</v>
      </c>
      <c r="K11" s="75" t="s">
        <v>287</v>
      </c>
      <c r="L11" s="75" t="s">
        <v>287</v>
      </c>
      <c r="M11" s="75" t="s">
        <v>287</v>
      </c>
      <c r="N11" s="75" t="s">
        <v>287</v>
      </c>
      <c r="O11" s="75" t="s">
        <v>287</v>
      </c>
      <c r="P11" s="75" t="s">
        <v>287</v>
      </c>
      <c r="Q11" s="75" t="s">
        <v>287</v>
      </c>
      <c r="R11" s="75" t="s">
        <v>287</v>
      </c>
      <c r="S11" s="75" t="s">
        <v>287</v>
      </c>
      <c r="T11" s="150"/>
      <c r="U11" s="150"/>
      <c r="V11" s="148"/>
      <c r="W11" s="148"/>
      <c r="X11" s="148"/>
      <c r="Y11" s="107"/>
      <c r="AA11" s="107"/>
      <c r="AC11" s="107"/>
      <c r="AD11" s="107"/>
    </row>
    <row r="12" spans="1:33" ht="29" x14ac:dyDescent="0.35">
      <c r="A12" s="151" t="s">
        <v>288</v>
      </c>
      <c r="B12" s="149" t="s">
        <v>15</v>
      </c>
      <c r="C12" s="75" t="s">
        <v>287</v>
      </c>
      <c r="D12" s="75" t="s">
        <v>287</v>
      </c>
      <c r="E12" s="75" t="s">
        <v>287</v>
      </c>
      <c r="F12" s="75" t="s">
        <v>287</v>
      </c>
      <c r="G12" s="75" t="s">
        <v>287</v>
      </c>
      <c r="H12" s="75" t="s">
        <v>287</v>
      </c>
      <c r="I12" s="75" t="s">
        <v>287</v>
      </c>
      <c r="J12" s="75" t="s">
        <v>287</v>
      </c>
      <c r="K12" s="75" t="s">
        <v>287</v>
      </c>
      <c r="L12" s="75" t="s">
        <v>287</v>
      </c>
      <c r="M12" s="75" t="s">
        <v>287</v>
      </c>
      <c r="N12" s="75" t="s">
        <v>287</v>
      </c>
      <c r="O12" s="75" t="s">
        <v>287</v>
      </c>
      <c r="P12" s="75" t="s">
        <v>287</v>
      </c>
      <c r="Q12" s="75" t="s">
        <v>287</v>
      </c>
      <c r="R12" s="75" t="s">
        <v>287</v>
      </c>
      <c r="S12" s="75" t="s">
        <v>287</v>
      </c>
      <c r="T12" s="70"/>
      <c r="U12" s="118"/>
      <c r="V12" s="107"/>
      <c r="W12" s="107"/>
      <c r="X12" s="107"/>
      <c r="Y12" s="107"/>
      <c r="Z12" s="116"/>
      <c r="AA12" s="107"/>
      <c r="AD12" s="107"/>
      <c r="AE12" s="107"/>
      <c r="AF12" s="107"/>
      <c r="AG12" s="107"/>
    </row>
    <row r="13" spans="1:33" x14ac:dyDescent="0.35">
      <c r="A13" s="104" t="s">
        <v>289</v>
      </c>
      <c r="B13" s="149"/>
      <c r="C13" s="69" t="s">
        <v>287</v>
      </c>
      <c r="D13" s="69" t="s">
        <v>287</v>
      </c>
      <c r="E13" s="69" t="s">
        <v>287</v>
      </c>
      <c r="F13" s="69" t="s">
        <v>287</v>
      </c>
      <c r="G13" s="69" t="s">
        <v>287</v>
      </c>
      <c r="H13" s="69" t="s">
        <v>287</v>
      </c>
      <c r="I13" s="69" t="s">
        <v>287</v>
      </c>
      <c r="J13" s="69" t="s">
        <v>287</v>
      </c>
      <c r="K13" s="69" t="s">
        <v>287</v>
      </c>
      <c r="L13" s="69" t="s">
        <v>287</v>
      </c>
      <c r="M13" s="69" t="s">
        <v>287</v>
      </c>
      <c r="N13" s="69" t="s">
        <v>287</v>
      </c>
      <c r="O13" s="69" t="s">
        <v>287</v>
      </c>
      <c r="P13" s="69" t="s">
        <v>287</v>
      </c>
      <c r="Q13" s="69" t="s">
        <v>287</v>
      </c>
      <c r="R13" s="69" t="s">
        <v>287</v>
      </c>
      <c r="S13" s="69" t="s">
        <v>287</v>
      </c>
      <c r="T13" s="150"/>
      <c r="U13" s="150"/>
      <c r="V13" s="148"/>
      <c r="W13" s="148"/>
      <c r="X13" s="148"/>
      <c r="Y13" s="107"/>
      <c r="Z13" s="148"/>
      <c r="AA13" s="148"/>
      <c r="AB13" s="148"/>
      <c r="AC13" s="107"/>
      <c r="AD13" s="107"/>
    </row>
    <row r="14" spans="1:33" x14ac:dyDescent="0.35">
      <c r="A14" s="74" t="s">
        <v>296</v>
      </c>
      <c r="B14" s="149"/>
      <c r="C14" s="69" t="s">
        <v>287</v>
      </c>
      <c r="D14" s="69" t="s">
        <v>287</v>
      </c>
      <c r="E14" s="69" t="s">
        <v>287</v>
      </c>
      <c r="F14" s="69" t="s">
        <v>287</v>
      </c>
      <c r="G14" s="69" t="s">
        <v>287</v>
      </c>
      <c r="H14" s="69" t="s">
        <v>287</v>
      </c>
      <c r="I14" s="69" t="s">
        <v>287</v>
      </c>
      <c r="J14" s="69" t="s">
        <v>287</v>
      </c>
      <c r="K14" s="69" t="s">
        <v>287</v>
      </c>
      <c r="L14" s="69" t="s">
        <v>287</v>
      </c>
      <c r="M14" s="69"/>
      <c r="N14" s="69" t="s">
        <v>287</v>
      </c>
      <c r="O14" s="69" t="s">
        <v>287</v>
      </c>
      <c r="P14" s="69" t="s">
        <v>287</v>
      </c>
      <c r="Q14" s="69" t="s">
        <v>287</v>
      </c>
      <c r="R14" s="69" t="s">
        <v>287</v>
      </c>
      <c r="S14" s="69" t="s">
        <v>287</v>
      </c>
      <c r="T14" s="150"/>
      <c r="U14" s="150"/>
      <c r="V14" s="148"/>
      <c r="W14" s="148"/>
      <c r="X14" s="148"/>
      <c r="Y14" s="107"/>
      <c r="Z14" s="148"/>
      <c r="AA14" s="148"/>
      <c r="AB14" s="148"/>
      <c r="AC14" s="107"/>
      <c r="AD14" s="107"/>
    </row>
    <row r="15" spans="1:33" x14ac:dyDescent="0.35">
      <c r="A15" s="156" t="s">
        <v>309</v>
      </c>
      <c r="B15" s="149"/>
      <c r="C15" s="69" t="s">
        <v>287</v>
      </c>
      <c r="D15" s="69" t="s">
        <v>287</v>
      </c>
      <c r="E15" s="69" t="s">
        <v>287</v>
      </c>
      <c r="F15" s="69" t="s">
        <v>287</v>
      </c>
      <c r="G15" s="69" t="s">
        <v>287</v>
      </c>
      <c r="H15" s="69" t="s">
        <v>287</v>
      </c>
      <c r="I15" s="69" t="s">
        <v>287</v>
      </c>
      <c r="J15" s="69" t="s">
        <v>287</v>
      </c>
      <c r="K15" s="69" t="s">
        <v>287</v>
      </c>
      <c r="L15" s="69" t="s">
        <v>287</v>
      </c>
      <c r="M15" s="69"/>
      <c r="N15" s="69" t="s">
        <v>287</v>
      </c>
      <c r="O15" s="69" t="s">
        <v>287</v>
      </c>
      <c r="P15" s="69" t="s">
        <v>287</v>
      </c>
      <c r="Q15" s="69" t="s">
        <v>287</v>
      </c>
      <c r="R15" s="69" t="s">
        <v>287</v>
      </c>
      <c r="S15" s="69" t="s">
        <v>287</v>
      </c>
      <c r="T15" s="150"/>
      <c r="U15" s="150"/>
      <c r="V15" s="148"/>
      <c r="W15" s="148"/>
      <c r="X15" s="148"/>
      <c r="Y15" s="107"/>
      <c r="Z15" s="148"/>
      <c r="AA15" s="148"/>
      <c r="AB15" s="148"/>
      <c r="AC15" s="107"/>
      <c r="AD15" s="107"/>
    </row>
    <row r="16" spans="1:33" x14ac:dyDescent="0.35">
      <c r="A16" s="248" t="s">
        <v>236</v>
      </c>
      <c r="B16" s="149" t="s">
        <v>17</v>
      </c>
      <c r="C16" s="154">
        <v>304797.64598000003</v>
      </c>
      <c r="D16" s="154">
        <v>189011.01537000001</v>
      </c>
      <c r="E16" s="154">
        <v>110247.75313</v>
      </c>
      <c r="F16" s="154">
        <v>595156.29325999995</v>
      </c>
      <c r="G16" s="154">
        <v>2611043.41255</v>
      </c>
      <c r="H16" s="154">
        <v>169604.60256999999</v>
      </c>
      <c r="I16" s="154">
        <v>2221522.02709</v>
      </c>
      <c r="J16" s="154">
        <v>541232.14824999997</v>
      </c>
      <c r="K16" s="154"/>
      <c r="L16" s="154"/>
      <c r="M16" s="154"/>
      <c r="N16" s="154" t="s">
        <v>287</v>
      </c>
      <c r="O16" s="154" t="s">
        <v>287</v>
      </c>
      <c r="P16" s="154" t="s">
        <v>287</v>
      </c>
      <c r="Q16" s="154" t="s">
        <v>287</v>
      </c>
      <c r="R16" s="154" t="s">
        <v>287</v>
      </c>
      <c r="S16" s="154">
        <v>6742614.8981999997</v>
      </c>
      <c r="T16" s="150"/>
      <c r="U16" s="150"/>
      <c r="V16" s="148"/>
      <c r="W16" s="148"/>
      <c r="X16" s="148"/>
      <c r="Y16" s="107"/>
      <c r="Z16" s="148"/>
      <c r="AA16" s="107"/>
      <c r="AC16" s="107"/>
      <c r="AD16" s="107"/>
    </row>
    <row r="17" spans="1:35" ht="29" x14ac:dyDescent="0.35">
      <c r="A17" s="155" t="s">
        <v>310</v>
      </c>
      <c r="B17" s="149" t="s">
        <v>33</v>
      </c>
      <c r="C17" s="154">
        <v>4810.4707699999999</v>
      </c>
      <c r="D17" s="154">
        <v>-616.30574000000001</v>
      </c>
      <c r="E17" s="154">
        <v>233.82929000000001</v>
      </c>
      <c r="F17" s="154"/>
      <c r="G17" s="154">
        <v>15374.12816</v>
      </c>
      <c r="H17" s="154">
        <v>36752.862259999994</v>
      </c>
      <c r="I17" s="154">
        <v>108499.15349</v>
      </c>
      <c r="J17" s="154">
        <v>48061.001990000004</v>
      </c>
      <c r="K17" s="154"/>
      <c r="L17" s="154"/>
      <c r="M17" s="154"/>
      <c r="N17" s="154" t="s">
        <v>287</v>
      </c>
      <c r="O17" s="154" t="s">
        <v>287</v>
      </c>
      <c r="P17" s="154" t="s">
        <v>287</v>
      </c>
      <c r="Q17" s="154" t="s">
        <v>287</v>
      </c>
      <c r="R17" s="154" t="s">
        <v>287</v>
      </c>
      <c r="S17" s="154">
        <v>213115.14028999998</v>
      </c>
      <c r="T17" s="150"/>
      <c r="U17" s="150"/>
      <c r="V17" s="148"/>
      <c r="W17" s="148"/>
      <c r="X17" s="148"/>
      <c r="Y17" s="148"/>
      <c r="Z17" s="148"/>
      <c r="AA17" s="148"/>
      <c r="AC17" s="107"/>
      <c r="AD17" s="107"/>
    </row>
    <row r="18" spans="1:35" x14ac:dyDescent="0.35">
      <c r="A18" s="71" t="s">
        <v>311</v>
      </c>
      <c r="B18" s="149" t="s">
        <v>35</v>
      </c>
      <c r="C18" s="154">
        <v>299987.17520999996</v>
      </c>
      <c r="D18" s="154">
        <v>189627.32111000002</v>
      </c>
      <c r="E18" s="154">
        <v>110013.92384</v>
      </c>
      <c r="F18" s="154">
        <v>595156.29319000011</v>
      </c>
      <c r="G18" s="154">
        <v>2595669.2843899997</v>
      </c>
      <c r="H18" s="154">
        <v>132851.74030999999</v>
      </c>
      <c r="I18" s="154">
        <v>2113022.8736</v>
      </c>
      <c r="J18" s="154">
        <v>493171.14626000001</v>
      </c>
      <c r="K18" s="154"/>
      <c r="L18" s="154"/>
      <c r="M18" s="154"/>
      <c r="N18" s="154" t="s">
        <v>287</v>
      </c>
      <c r="O18" s="154" t="s">
        <v>287</v>
      </c>
      <c r="P18" s="154" t="s">
        <v>287</v>
      </c>
      <c r="Q18" s="154" t="s">
        <v>287</v>
      </c>
      <c r="R18" s="154" t="s">
        <v>287</v>
      </c>
      <c r="S18" s="154">
        <v>6529499.7579100002</v>
      </c>
      <c r="T18" s="150"/>
      <c r="U18" s="150"/>
      <c r="V18" s="148"/>
      <c r="W18" s="148"/>
      <c r="X18" s="148"/>
      <c r="Y18" s="148"/>
      <c r="Z18" s="107"/>
      <c r="AA18" s="107"/>
      <c r="AC18" s="107"/>
      <c r="AD18" s="107"/>
    </row>
    <row r="19" spans="1:35" x14ac:dyDescent="0.35">
      <c r="A19" s="156" t="s">
        <v>312</v>
      </c>
      <c r="B19" s="149"/>
      <c r="C19" s="69" t="s">
        <v>287</v>
      </c>
      <c r="D19" s="69" t="s">
        <v>287</v>
      </c>
      <c r="E19" s="69" t="s">
        <v>287</v>
      </c>
      <c r="F19" s="69" t="s">
        <v>287</v>
      </c>
      <c r="G19" s="69" t="s">
        <v>287</v>
      </c>
      <c r="H19" s="69" t="s">
        <v>287</v>
      </c>
      <c r="I19" s="69" t="s">
        <v>287</v>
      </c>
      <c r="J19" s="69" t="s">
        <v>287</v>
      </c>
      <c r="K19" s="69"/>
      <c r="L19" s="69"/>
      <c r="M19" s="69"/>
      <c r="N19" s="69" t="s">
        <v>287</v>
      </c>
      <c r="O19" s="69" t="s">
        <v>287</v>
      </c>
      <c r="P19" s="69" t="s">
        <v>287</v>
      </c>
      <c r="Q19" s="69" t="s">
        <v>287</v>
      </c>
      <c r="R19" s="69" t="s">
        <v>287</v>
      </c>
      <c r="S19" s="69" t="s">
        <v>287</v>
      </c>
      <c r="T19" s="150"/>
      <c r="U19" s="150"/>
      <c r="V19" s="148"/>
      <c r="W19" s="148"/>
      <c r="X19" s="148"/>
      <c r="Y19" s="107"/>
      <c r="Z19" s="148"/>
      <c r="AA19" s="148"/>
      <c r="AC19" s="107"/>
      <c r="AD19" s="107"/>
    </row>
    <row r="20" spans="1:35" x14ac:dyDescent="0.35">
      <c r="A20" s="248" t="s">
        <v>236</v>
      </c>
      <c r="B20" s="149" t="s">
        <v>37</v>
      </c>
      <c r="C20" s="154">
        <v>1633375.4777599999</v>
      </c>
      <c r="D20" s="154">
        <v>5612082.0789599996</v>
      </c>
      <c r="E20" s="154">
        <v>5178746.7833900005</v>
      </c>
      <c r="F20" s="154">
        <v>14916571.81935</v>
      </c>
      <c r="G20" s="154">
        <v>1628890.61445</v>
      </c>
      <c r="H20" s="154">
        <v>680694.04038999998</v>
      </c>
      <c r="I20" s="154">
        <v>6683828.8415299999</v>
      </c>
      <c r="J20" s="154">
        <v>5687569.2990800003</v>
      </c>
      <c r="K20" s="154"/>
      <c r="L20" s="154"/>
      <c r="M20" s="154"/>
      <c r="N20" s="154"/>
      <c r="O20" s="154"/>
      <c r="P20" s="154"/>
      <c r="Q20" s="154"/>
      <c r="R20" s="154"/>
      <c r="S20" s="154">
        <v>42021758.954910003</v>
      </c>
      <c r="T20" s="150"/>
      <c r="U20" s="150"/>
      <c r="V20" s="148"/>
      <c r="W20" s="148"/>
      <c r="X20" s="148"/>
      <c r="Y20" s="107"/>
      <c r="Z20" s="148"/>
      <c r="AA20" s="107"/>
      <c r="AC20" s="107"/>
      <c r="AD20" s="107"/>
    </row>
    <row r="21" spans="1:35" ht="29" x14ac:dyDescent="0.35">
      <c r="A21" s="155" t="s">
        <v>310</v>
      </c>
      <c r="B21" s="149" t="s">
        <v>53</v>
      </c>
      <c r="C21" s="154">
        <v>1900.1129099999998</v>
      </c>
      <c r="D21" s="154">
        <v>4448.6039800000008</v>
      </c>
      <c r="E21" s="154">
        <v>300927.17933999997</v>
      </c>
      <c r="F21" s="154">
        <v>6618.5239199999996</v>
      </c>
      <c r="G21" s="154">
        <v>6435.7725599999994</v>
      </c>
      <c r="H21" s="154">
        <v>55165.896820000002</v>
      </c>
      <c r="I21" s="154">
        <v>272385.01216000004</v>
      </c>
      <c r="J21" s="154">
        <v>956170.81855999993</v>
      </c>
      <c r="K21" s="154"/>
      <c r="L21" s="154"/>
      <c r="M21" s="154"/>
      <c r="N21" s="154"/>
      <c r="O21" s="154"/>
      <c r="P21" s="154"/>
      <c r="Q21" s="154"/>
      <c r="R21" s="154"/>
      <c r="S21" s="154">
        <v>1604051.92025</v>
      </c>
      <c r="T21" s="150"/>
      <c r="U21" s="150"/>
      <c r="V21" s="148"/>
      <c r="W21" s="148"/>
      <c r="X21" s="148"/>
      <c r="Y21" s="148"/>
      <c r="Z21" s="148"/>
      <c r="AA21" s="148"/>
      <c r="AB21" s="148"/>
      <c r="AC21" s="107"/>
      <c r="AD21" s="107"/>
    </row>
    <row r="22" spans="1:35" x14ac:dyDescent="0.35">
      <c r="A22" s="71" t="s">
        <v>313</v>
      </c>
      <c r="B22" s="149" t="s">
        <v>55</v>
      </c>
      <c r="C22" s="154">
        <v>1631475.36485</v>
      </c>
      <c r="D22" s="154">
        <v>5607633.4749799995</v>
      </c>
      <c r="E22" s="154">
        <v>4877819.6040500002</v>
      </c>
      <c r="F22" s="154">
        <v>14909953.295430001</v>
      </c>
      <c r="G22" s="154">
        <v>1622454.84189</v>
      </c>
      <c r="H22" s="154">
        <v>625528.14357000007</v>
      </c>
      <c r="I22" s="154">
        <v>6411443.8293699995</v>
      </c>
      <c r="J22" s="154">
        <v>4731398.4805200007</v>
      </c>
      <c r="K22" s="154"/>
      <c r="L22" s="154"/>
      <c r="M22" s="154"/>
      <c r="N22" s="154"/>
      <c r="O22" s="154"/>
      <c r="P22" s="154"/>
      <c r="Q22" s="154"/>
      <c r="R22" s="154"/>
      <c r="S22" s="154">
        <v>40417707.034660004</v>
      </c>
      <c r="T22" s="150"/>
      <c r="U22" s="150"/>
      <c r="V22" s="148"/>
      <c r="W22" s="148"/>
      <c r="X22" s="148"/>
      <c r="Y22" s="148"/>
      <c r="Z22" s="107"/>
      <c r="AA22" s="107"/>
      <c r="AC22" s="107"/>
      <c r="AD22" s="107"/>
    </row>
    <row r="23" spans="1:35" x14ac:dyDescent="0.35">
      <c r="A23" s="74" t="s">
        <v>314</v>
      </c>
      <c r="B23" s="149" t="s">
        <v>57</v>
      </c>
      <c r="C23" s="154">
        <v>1938173.12374</v>
      </c>
      <c r="D23" s="154">
        <v>5801093.0943299998</v>
      </c>
      <c r="E23" s="154">
        <v>5288994.5365200005</v>
      </c>
      <c r="F23" s="154">
        <v>15511728.112610001</v>
      </c>
      <c r="G23" s="154">
        <v>4239934.0269999998</v>
      </c>
      <c r="H23" s="154">
        <v>850298.64296000008</v>
      </c>
      <c r="I23" s="154">
        <v>8905350.8686200008</v>
      </c>
      <c r="J23" s="154">
        <v>6228801.4473299999</v>
      </c>
      <c r="K23" s="154"/>
      <c r="L23" s="154"/>
      <c r="M23" s="154"/>
      <c r="N23" s="154"/>
      <c r="O23" s="154"/>
      <c r="P23" s="154"/>
      <c r="Q23" s="154"/>
      <c r="R23" s="154"/>
      <c r="S23" s="154">
        <v>48764373.85311</v>
      </c>
      <c r="T23" s="150"/>
      <c r="U23" s="150"/>
      <c r="V23" s="148"/>
      <c r="W23" s="148"/>
      <c r="X23" s="148"/>
      <c r="Y23" s="107"/>
      <c r="Z23" s="107"/>
      <c r="AA23" s="107"/>
      <c r="AC23" s="107"/>
      <c r="AD23" s="107"/>
    </row>
    <row r="24" spans="1:35" x14ac:dyDescent="0.35">
      <c r="A24" s="74" t="s">
        <v>315</v>
      </c>
      <c r="B24" s="149" t="s">
        <v>59</v>
      </c>
      <c r="C24" s="154">
        <v>1931462.54006</v>
      </c>
      <c r="D24" s="154">
        <v>5797260.7960900003</v>
      </c>
      <c r="E24" s="154">
        <v>4987833.5278900005</v>
      </c>
      <c r="F24" s="154">
        <v>15505109.588620001</v>
      </c>
      <c r="G24" s="154">
        <v>4218124.1262800004</v>
      </c>
      <c r="H24" s="154">
        <v>758379.88387999998</v>
      </c>
      <c r="I24" s="154">
        <v>8524466.70297</v>
      </c>
      <c r="J24" s="154">
        <v>5224569.6267799996</v>
      </c>
      <c r="K24" s="154"/>
      <c r="L24" s="154"/>
      <c r="M24" s="154"/>
      <c r="N24" s="154"/>
      <c r="O24" s="154"/>
      <c r="P24" s="154"/>
      <c r="Q24" s="154"/>
      <c r="R24" s="154"/>
      <c r="S24" s="154">
        <v>46947206.792570002</v>
      </c>
      <c r="T24" s="150"/>
      <c r="U24" s="150"/>
      <c r="V24" s="148"/>
      <c r="W24" s="148"/>
      <c r="X24" s="148"/>
      <c r="Y24" s="148"/>
      <c r="Z24" s="107"/>
      <c r="AA24" s="107"/>
      <c r="AC24" s="107"/>
      <c r="AD24" s="107"/>
    </row>
    <row r="25" spans="1:35" x14ac:dyDescent="0.35">
      <c r="A25" s="74" t="s">
        <v>101</v>
      </c>
      <c r="B25" s="149" t="s">
        <v>61</v>
      </c>
      <c r="C25" s="154">
        <v>76441.140969999993</v>
      </c>
      <c r="D25" s="154">
        <v>263645.39503000001</v>
      </c>
      <c r="E25" s="154">
        <v>304374.72349</v>
      </c>
      <c r="F25" s="154">
        <v>455610.30692</v>
      </c>
      <c r="G25" s="154">
        <v>102757.28540000001</v>
      </c>
      <c r="H25" s="154">
        <v>70351.5484</v>
      </c>
      <c r="I25" s="154">
        <v>357661.31582999998</v>
      </c>
      <c r="J25" s="154">
        <v>293650.00063999998</v>
      </c>
      <c r="K25" s="154"/>
      <c r="L25" s="154"/>
      <c r="M25" s="154"/>
      <c r="N25" s="154"/>
      <c r="O25" s="154"/>
      <c r="P25" s="154"/>
      <c r="Q25" s="154"/>
      <c r="R25" s="154"/>
      <c r="S25" s="154">
        <v>1924491.7166800001</v>
      </c>
      <c r="T25" s="150"/>
      <c r="U25" s="150"/>
      <c r="V25" s="148"/>
      <c r="W25" s="148"/>
      <c r="X25" s="148"/>
      <c r="Y25" s="148"/>
      <c r="Z25" s="107"/>
      <c r="AA25" s="107"/>
      <c r="AC25" s="107"/>
      <c r="AD25" s="107"/>
    </row>
    <row r="26" spans="1:35" x14ac:dyDescent="0.35">
      <c r="A26" s="74" t="s">
        <v>294</v>
      </c>
      <c r="B26" s="149"/>
      <c r="C26" s="69" t="s">
        <v>287</v>
      </c>
      <c r="D26" s="69" t="s">
        <v>287</v>
      </c>
      <c r="E26" s="69" t="s">
        <v>287</v>
      </c>
      <c r="F26" s="69" t="s">
        <v>287</v>
      </c>
      <c r="G26" s="69" t="s">
        <v>287</v>
      </c>
      <c r="H26" s="69" t="s">
        <v>287</v>
      </c>
      <c r="I26" s="69" t="s">
        <v>287</v>
      </c>
      <c r="J26" s="69" t="s">
        <v>287</v>
      </c>
      <c r="K26" s="69"/>
      <c r="L26" s="69"/>
      <c r="M26" s="69"/>
      <c r="N26" s="69" t="s">
        <v>287</v>
      </c>
      <c r="O26" s="69" t="s">
        <v>287</v>
      </c>
      <c r="P26" s="69" t="s">
        <v>287</v>
      </c>
      <c r="Q26" s="69" t="s">
        <v>287</v>
      </c>
      <c r="R26" s="69" t="s">
        <v>287</v>
      </c>
      <c r="S26" s="69" t="s">
        <v>287</v>
      </c>
      <c r="T26" s="150"/>
      <c r="U26" s="150"/>
      <c r="V26" s="148"/>
      <c r="W26" s="148"/>
      <c r="X26" s="148"/>
      <c r="Y26" s="148"/>
      <c r="Z26" s="107"/>
      <c r="AA26" s="148"/>
      <c r="AC26" s="107"/>
      <c r="AD26" s="107"/>
    </row>
    <row r="27" spans="1:35" x14ac:dyDescent="0.35">
      <c r="A27" s="158" t="s">
        <v>295</v>
      </c>
      <c r="B27" s="149" t="s">
        <v>63</v>
      </c>
      <c r="C27" s="75" t="s">
        <v>287</v>
      </c>
      <c r="D27" s="75" t="s">
        <v>287</v>
      </c>
      <c r="E27" s="75" t="s">
        <v>287</v>
      </c>
      <c r="F27" s="75" t="s">
        <v>287</v>
      </c>
      <c r="G27" s="75" t="s">
        <v>287</v>
      </c>
      <c r="H27" s="75" t="s">
        <v>287</v>
      </c>
      <c r="I27" s="75" t="s">
        <v>287</v>
      </c>
      <c r="J27" s="75" t="s">
        <v>287</v>
      </c>
      <c r="K27" s="75"/>
      <c r="L27" s="75"/>
      <c r="M27" s="75"/>
      <c r="N27" s="75" t="s">
        <v>287</v>
      </c>
      <c r="O27" s="75" t="s">
        <v>287</v>
      </c>
      <c r="P27" s="75" t="s">
        <v>287</v>
      </c>
      <c r="Q27" s="75" t="s">
        <v>287</v>
      </c>
      <c r="R27" s="75" t="s">
        <v>287</v>
      </c>
      <c r="S27" s="75" t="s">
        <v>287</v>
      </c>
      <c r="T27" s="70"/>
      <c r="U27" s="118"/>
      <c r="V27" s="107"/>
      <c r="W27" s="107"/>
      <c r="X27" s="107"/>
      <c r="Y27" s="64"/>
      <c r="Z27" s="107"/>
      <c r="AA27" s="107"/>
      <c r="AC27" s="107"/>
      <c r="AG27" s="107"/>
      <c r="AH27" s="107"/>
      <c r="AI27" s="157"/>
    </row>
    <row r="28" spans="1:35" x14ac:dyDescent="0.35">
      <c r="A28" s="158" t="s">
        <v>296</v>
      </c>
      <c r="B28" s="149" t="s">
        <v>65</v>
      </c>
      <c r="C28" s="75" t="s">
        <v>287</v>
      </c>
      <c r="D28" s="75" t="s">
        <v>287</v>
      </c>
      <c r="E28" s="75" t="s">
        <v>287</v>
      </c>
      <c r="F28" s="75" t="s">
        <v>287</v>
      </c>
      <c r="G28" s="75" t="s">
        <v>287</v>
      </c>
      <c r="H28" s="75" t="s">
        <v>287</v>
      </c>
      <c r="I28" s="75" t="s">
        <v>287</v>
      </c>
      <c r="J28" s="75" t="s">
        <v>287</v>
      </c>
      <c r="K28" s="75"/>
      <c r="L28" s="75"/>
      <c r="M28" s="75"/>
      <c r="N28" s="75" t="s">
        <v>287</v>
      </c>
      <c r="O28" s="75" t="s">
        <v>287</v>
      </c>
      <c r="P28" s="75" t="s">
        <v>287</v>
      </c>
      <c r="Q28" s="75" t="s">
        <v>287</v>
      </c>
      <c r="R28" s="75" t="s">
        <v>287</v>
      </c>
      <c r="S28" s="75" t="s">
        <v>287</v>
      </c>
      <c r="T28" s="70"/>
      <c r="U28" s="118"/>
      <c r="V28" s="107"/>
      <c r="W28" s="107"/>
      <c r="X28" s="107"/>
      <c r="Y28" s="112"/>
      <c r="Z28" s="107"/>
      <c r="AA28" s="107"/>
      <c r="AC28" s="107"/>
      <c r="AG28" s="107"/>
      <c r="AH28" s="107"/>
      <c r="AI28" s="157"/>
    </row>
    <row r="29" spans="1:35" x14ac:dyDescent="0.35">
      <c r="A29" s="158" t="s">
        <v>101</v>
      </c>
      <c r="B29" s="149" t="s">
        <v>67</v>
      </c>
      <c r="C29" s="75" t="s">
        <v>287</v>
      </c>
      <c r="D29" s="75" t="s">
        <v>287</v>
      </c>
      <c r="E29" s="75" t="s">
        <v>287</v>
      </c>
      <c r="F29" s="75" t="s">
        <v>287</v>
      </c>
      <c r="G29" s="75" t="s">
        <v>287</v>
      </c>
      <c r="H29" s="75" t="s">
        <v>287</v>
      </c>
      <c r="I29" s="75" t="s">
        <v>287</v>
      </c>
      <c r="J29" s="75" t="s">
        <v>287</v>
      </c>
      <c r="K29" s="75"/>
      <c r="L29" s="75"/>
      <c r="M29" s="75"/>
      <c r="N29" s="75" t="s">
        <v>287</v>
      </c>
      <c r="O29" s="75" t="s">
        <v>287</v>
      </c>
      <c r="P29" s="75" t="s">
        <v>287</v>
      </c>
      <c r="Q29" s="75" t="s">
        <v>287</v>
      </c>
      <c r="R29" s="75" t="s">
        <v>287</v>
      </c>
      <c r="S29" s="75" t="s">
        <v>287</v>
      </c>
      <c r="T29" s="70"/>
      <c r="U29" s="118"/>
      <c r="V29" s="107"/>
      <c r="W29" s="107"/>
      <c r="X29" s="107"/>
      <c r="Y29" s="112"/>
      <c r="Z29" s="107"/>
      <c r="AA29" s="107"/>
      <c r="AC29" s="107"/>
      <c r="AG29" s="107"/>
      <c r="AH29" s="107"/>
      <c r="AI29" s="157"/>
    </row>
    <row r="30" spans="1:35" x14ac:dyDescent="0.35">
      <c r="A30" s="77" t="s">
        <v>297</v>
      </c>
      <c r="B30" s="149"/>
      <c r="C30" s="69" t="s">
        <v>287</v>
      </c>
      <c r="D30" s="69" t="s">
        <v>287</v>
      </c>
      <c r="E30" s="69" t="s">
        <v>287</v>
      </c>
      <c r="F30" s="69" t="s">
        <v>287</v>
      </c>
      <c r="G30" s="69" t="s">
        <v>287</v>
      </c>
      <c r="H30" s="69" t="s">
        <v>287</v>
      </c>
      <c r="I30" s="69" t="s">
        <v>287</v>
      </c>
      <c r="J30" s="69" t="s">
        <v>287</v>
      </c>
      <c r="K30" s="69"/>
      <c r="L30" s="69"/>
      <c r="M30" s="69"/>
      <c r="N30" s="69" t="s">
        <v>287</v>
      </c>
      <c r="O30" s="69" t="s">
        <v>287</v>
      </c>
      <c r="P30" s="69" t="s">
        <v>287</v>
      </c>
      <c r="Q30" s="69" t="s">
        <v>287</v>
      </c>
      <c r="R30" s="69" t="s">
        <v>287</v>
      </c>
      <c r="S30" s="69" t="s">
        <v>287</v>
      </c>
      <c r="T30" s="70"/>
      <c r="Z30" s="148"/>
      <c r="AA30" s="148"/>
      <c r="AB30" s="148"/>
      <c r="AC30" s="107"/>
      <c r="AD30" s="107"/>
    </row>
    <row r="31" spans="1:35" x14ac:dyDescent="0.35">
      <c r="A31" s="249" t="s">
        <v>297</v>
      </c>
      <c r="B31" s="149" t="s">
        <v>69</v>
      </c>
      <c r="C31" s="154">
        <v>2014614.26471</v>
      </c>
      <c r="D31" s="154">
        <v>6064738.48936</v>
      </c>
      <c r="E31" s="154">
        <v>5593369.2600100003</v>
      </c>
      <c r="F31" s="154">
        <v>15967338.419530001</v>
      </c>
      <c r="G31" s="154">
        <v>4342691.3123999992</v>
      </c>
      <c r="H31" s="154">
        <v>920650.19136000006</v>
      </c>
      <c r="I31" s="154">
        <v>9263012.1844500005</v>
      </c>
      <c r="J31" s="154">
        <v>6522451.4479700001</v>
      </c>
      <c r="K31" s="154"/>
      <c r="L31" s="154"/>
      <c r="M31" s="154"/>
      <c r="N31" s="154"/>
      <c r="O31" s="154"/>
      <c r="P31" s="154"/>
      <c r="Q31" s="154"/>
      <c r="R31" s="154"/>
      <c r="S31" s="154">
        <v>50688865.569789998</v>
      </c>
      <c r="T31" s="70"/>
      <c r="U31" s="150"/>
      <c r="V31" s="148"/>
      <c r="W31" s="148"/>
      <c r="X31" s="148"/>
      <c r="Y31" s="148"/>
      <c r="Z31" s="148"/>
      <c r="AA31" s="148"/>
      <c r="AB31" s="148"/>
      <c r="AC31" s="107"/>
      <c r="AD31" s="107"/>
    </row>
    <row r="32" spans="1:35" ht="29" x14ac:dyDescent="0.35">
      <c r="A32" s="159" t="s">
        <v>316</v>
      </c>
      <c r="B32" s="149" t="s">
        <v>71</v>
      </c>
      <c r="C32" s="154">
        <v>6710.5836799999997</v>
      </c>
      <c r="D32" s="154">
        <v>3832.2982400000001</v>
      </c>
      <c r="E32" s="154">
        <v>301161.00863</v>
      </c>
      <c r="F32" s="154">
        <v>6618.5239900000006</v>
      </c>
      <c r="G32" s="154">
        <v>21809.900719999998</v>
      </c>
      <c r="H32" s="154">
        <v>91918.759080000003</v>
      </c>
      <c r="I32" s="154">
        <v>380884.16564999998</v>
      </c>
      <c r="J32" s="154">
        <v>1004231.8205499999</v>
      </c>
      <c r="K32" s="154"/>
      <c r="L32" s="154"/>
      <c r="M32" s="154"/>
      <c r="N32" s="154"/>
      <c r="O32" s="154"/>
      <c r="P32" s="154"/>
      <c r="Q32" s="154"/>
      <c r="R32" s="154"/>
      <c r="S32" s="154">
        <v>1817167.06054</v>
      </c>
      <c r="T32" s="70"/>
      <c r="U32" s="150"/>
      <c r="V32" s="148"/>
      <c r="W32" s="148"/>
      <c r="X32" s="107"/>
      <c r="Y32" s="148"/>
      <c r="Z32" s="148"/>
      <c r="AA32" s="148"/>
      <c r="AB32" s="148"/>
      <c r="AC32" s="107"/>
      <c r="AD32" s="107"/>
    </row>
    <row r="33" spans="1:33" ht="30" customHeight="1" x14ac:dyDescent="0.35">
      <c r="A33" s="160" t="s">
        <v>317</v>
      </c>
      <c r="B33" s="149" t="s">
        <v>73</v>
      </c>
      <c r="C33" s="154">
        <v>2007903.6810299999</v>
      </c>
      <c r="D33" s="154">
        <v>6060906.1911199996</v>
      </c>
      <c r="E33" s="154">
        <v>5292208.2513800003</v>
      </c>
      <c r="F33" s="154">
        <v>15960719.895540001</v>
      </c>
      <c r="G33" s="154">
        <v>4320881.4116799999</v>
      </c>
      <c r="H33" s="154">
        <v>828731.43227999995</v>
      </c>
      <c r="I33" s="154">
        <v>8882128.0187999997</v>
      </c>
      <c r="J33" s="154">
        <v>5518219.6274199998</v>
      </c>
      <c r="K33" s="154"/>
      <c r="L33" s="154"/>
      <c r="M33" s="154"/>
      <c r="N33" s="154"/>
      <c r="O33" s="154"/>
      <c r="P33" s="154"/>
      <c r="Q33" s="154"/>
      <c r="R33" s="154"/>
      <c r="S33" s="154">
        <v>48871698.50925</v>
      </c>
      <c r="T33" s="70"/>
      <c r="U33" s="150"/>
      <c r="V33" s="148"/>
      <c r="W33" s="148"/>
      <c r="X33" s="148"/>
      <c r="Y33" s="148"/>
      <c r="Z33" s="107"/>
      <c r="AA33" s="148"/>
      <c r="AB33" s="148"/>
      <c r="AC33" s="107"/>
      <c r="AD33" s="107"/>
      <c r="AG33" s="70"/>
    </row>
    <row r="34" spans="1:33" s="161" customFormat="1" x14ac:dyDescent="0.35">
      <c r="C34" s="162"/>
      <c r="D34" s="162"/>
      <c r="E34" s="162"/>
      <c r="F34" s="162"/>
      <c r="G34" s="162"/>
      <c r="H34" s="162"/>
      <c r="I34" s="162"/>
      <c r="J34" s="162"/>
      <c r="K34" s="162"/>
      <c r="L34" s="162"/>
      <c r="M34" s="162"/>
      <c r="N34" s="162"/>
      <c r="O34" s="162"/>
      <c r="P34" s="162"/>
      <c r="Q34" s="162"/>
      <c r="R34" s="162"/>
      <c r="S34" s="162"/>
      <c r="T34" s="162"/>
      <c r="U34" s="162"/>
      <c r="V34" s="163"/>
      <c r="W34" s="163"/>
      <c r="X34" s="163"/>
      <c r="Y34" s="163"/>
      <c r="Z34" s="163"/>
    </row>
    <row r="35" spans="1:33" x14ac:dyDescent="0.35">
      <c r="C35" s="226"/>
      <c r="D35" s="226"/>
      <c r="E35" s="226"/>
      <c r="F35" s="226"/>
      <c r="G35" s="226"/>
      <c r="H35" s="226"/>
      <c r="I35" s="226"/>
      <c r="J35" s="226"/>
      <c r="K35" s="226"/>
      <c r="L35" s="226"/>
      <c r="M35" s="226"/>
      <c r="N35" s="226"/>
      <c r="O35" s="226"/>
      <c r="P35" s="226"/>
      <c r="Q35" s="70"/>
      <c r="R35" s="226"/>
      <c r="S35" s="70"/>
      <c r="T35" s="70"/>
      <c r="U35" s="70"/>
    </row>
  </sheetData>
  <mergeCells count="3">
    <mergeCell ref="C8:N8"/>
    <mergeCell ref="O8:R8"/>
    <mergeCell ref="S8:S9"/>
  </mergeCells>
  <pageMargins left="0.15748031496062992" right="0.15748031496062992" top="0.27559055118110237" bottom="0.31496062992125984" header="0.15748031496062992" footer="0.15748031496062992"/>
  <pageSetup paperSize="8" scale="28" orientation="landscape" cellComments="asDisplayed" r:id="rId1"/>
  <headerFooter alignWithMargins="0">
    <oddHeader>&amp;A</oddHeader>
    <oddFooter>&amp;L&amp;F&amp;CPage &amp;P&amp;R&amp;D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247570-844E-47F5-8EE5-D1F97E9F9263}">
  <dimension ref="A1:BL64"/>
  <sheetViews>
    <sheetView showGridLines="0" topLeftCell="A16" zoomScale="80" zoomScaleNormal="80" workbookViewId="0">
      <selection activeCell="AN22" sqref="AN22:AN33"/>
    </sheetView>
  </sheetViews>
  <sheetFormatPr defaultColWidth="9.1796875" defaultRowHeight="14.5" x14ac:dyDescent="0.35"/>
  <cols>
    <col min="1" max="1" width="20.54296875" style="80" customWidth="1"/>
    <col min="2" max="2" width="19.453125" style="80" customWidth="1"/>
    <col min="3" max="3" width="13" style="80" bestFit="1" customWidth="1"/>
    <col min="4" max="5" width="11.26953125" style="80" bestFit="1" customWidth="1"/>
    <col min="6" max="6" width="9.7265625" style="80" bestFit="1" customWidth="1"/>
    <col min="7" max="16" width="9.453125" style="80" customWidth="1"/>
    <col min="17" max="17" width="19.1796875" style="80" customWidth="1"/>
    <col min="18" max="18" width="12.54296875" style="80" bestFit="1" customWidth="1"/>
    <col min="19" max="19" width="13.7265625" style="80" bestFit="1" customWidth="1"/>
    <col min="20" max="21" width="9.453125" style="80" customWidth="1"/>
    <col min="22" max="22" width="23.7265625" style="80" customWidth="1"/>
    <col min="23" max="23" width="9.453125" style="80" customWidth="1"/>
    <col min="24" max="24" width="20.453125" style="80" customWidth="1"/>
    <col min="25" max="25" width="12.54296875" style="80" bestFit="1" customWidth="1"/>
    <col min="26" max="33" width="11.26953125" style="80" bestFit="1" customWidth="1"/>
    <col min="34" max="34" width="9.7265625" style="80" bestFit="1" customWidth="1"/>
    <col min="35" max="35" width="12.54296875" style="80" bestFit="1" customWidth="1"/>
    <col min="36" max="36" width="11.1796875" style="80" customWidth="1"/>
    <col min="37" max="37" width="9.453125" style="80" customWidth="1"/>
    <col min="38" max="38" width="9.1796875" style="80"/>
    <col min="39" max="39" width="20.7265625" style="80" customWidth="1"/>
    <col min="40" max="40" width="12.7265625" style="80" customWidth="1"/>
    <col min="41" max="225" width="9.1796875" style="80"/>
    <col min="226" max="226" width="3" style="80" customWidth="1"/>
    <col min="227" max="227" width="11.453125" style="80" bestFit="1" customWidth="1"/>
    <col min="228" max="228" width="3.54296875" style="80" customWidth="1"/>
    <col min="229" max="229" width="14.1796875" style="80" customWidth="1"/>
    <col min="230" max="242" width="9.1796875" style="80"/>
    <col min="243" max="243" width="3" style="80" customWidth="1"/>
    <col min="244" max="244" width="13.81640625" style="80" customWidth="1"/>
    <col min="245" max="245" width="4" style="80" customWidth="1"/>
    <col min="246" max="481" width="9.1796875" style="80"/>
    <col min="482" max="482" width="3" style="80" customWidth="1"/>
    <col min="483" max="483" width="11.453125" style="80" bestFit="1" customWidth="1"/>
    <col min="484" max="484" width="3.54296875" style="80" customWidth="1"/>
    <col min="485" max="485" width="14.1796875" style="80" customWidth="1"/>
    <col min="486" max="498" width="9.1796875" style="80"/>
    <col min="499" max="499" width="3" style="80" customWidth="1"/>
    <col min="500" max="500" width="13.81640625" style="80" customWidth="1"/>
    <col min="501" max="501" width="4" style="80" customWidth="1"/>
    <col min="502" max="737" width="9.1796875" style="80"/>
    <col min="738" max="738" width="3" style="80" customWidth="1"/>
    <col min="739" max="739" width="11.453125" style="80" bestFit="1" customWidth="1"/>
    <col min="740" max="740" width="3.54296875" style="80" customWidth="1"/>
    <col min="741" max="741" width="14.1796875" style="80" customWidth="1"/>
    <col min="742" max="754" width="9.1796875" style="80"/>
    <col min="755" max="755" width="3" style="80" customWidth="1"/>
    <col min="756" max="756" width="13.81640625" style="80" customWidth="1"/>
    <col min="757" max="757" width="4" style="80" customWidth="1"/>
    <col min="758" max="993" width="9.1796875" style="80"/>
    <col min="994" max="994" width="3" style="80" customWidth="1"/>
    <col min="995" max="995" width="11.453125" style="80" bestFit="1" customWidth="1"/>
    <col min="996" max="996" width="3.54296875" style="80" customWidth="1"/>
    <col min="997" max="997" width="14.1796875" style="80" customWidth="1"/>
    <col min="998" max="1010" width="9.1796875" style="80"/>
    <col min="1011" max="1011" width="3" style="80" customWidth="1"/>
    <col min="1012" max="1012" width="13.81640625" style="80" customWidth="1"/>
    <col min="1013" max="1013" width="4" style="80" customWidth="1"/>
    <col min="1014" max="1249" width="9.1796875" style="80"/>
    <col min="1250" max="1250" width="3" style="80" customWidth="1"/>
    <col min="1251" max="1251" width="11.453125" style="80" bestFit="1" customWidth="1"/>
    <col min="1252" max="1252" width="3.54296875" style="80" customWidth="1"/>
    <col min="1253" max="1253" width="14.1796875" style="80" customWidth="1"/>
    <col min="1254" max="1266" width="9.1796875" style="80"/>
    <col min="1267" max="1267" width="3" style="80" customWidth="1"/>
    <col min="1268" max="1268" width="13.81640625" style="80" customWidth="1"/>
    <col min="1269" max="1269" width="4" style="80" customWidth="1"/>
    <col min="1270" max="1505" width="9.1796875" style="80"/>
    <col min="1506" max="1506" width="3" style="80" customWidth="1"/>
    <col min="1507" max="1507" width="11.453125" style="80" bestFit="1" customWidth="1"/>
    <col min="1508" max="1508" width="3.54296875" style="80" customWidth="1"/>
    <col min="1509" max="1509" width="14.1796875" style="80" customWidth="1"/>
    <col min="1510" max="1522" width="9.1796875" style="80"/>
    <col min="1523" max="1523" width="3" style="80" customWidth="1"/>
    <col min="1524" max="1524" width="13.81640625" style="80" customWidth="1"/>
    <col min="1525" max="1525" width="4" style="80" customWidth="1"/>
    <col min="1526" max="1761" width="9.1796875" style="80"/>
    <col min="1762" max="1762" width="3" style="80" customWidth="1"/>
    <col min="1763" max="1763" width="11.453125" style="80" bestFit="1" customWidth="1"/>
    <col min="1764" max="1764" width="3.54296875" style="80" customWidth="1"/>
    <col min="1765" max="1765" width="14.1796875" style="80" customWidth="1"/>
    <col min="1766" max="1778" width="9.1796875" style="80"/>
    <col min="1779" max="1779" width="3" style="80" customWidth="1"/>
    <col min="1780" max="1780" width="13.81640625" style="80" customWidth="1"/>
    <col min="1781" max="1781" width="4" style="80" customWidth="1"/>
    <col min="1782" max="2017" width="9.1796875" style="80"/>
    <col min="2018" max="2018" width="3" style="80" customWidth="1"/>
    <col min="2019" max="2019" width="11.453125" style="80" bestFit="1" customWidth="1"/>
    <col min="2020" max="2020" width="3.54296875" style="80" customWidth="1"/>
    <col min="2021" max="2021" width="14.1796875" style="80" customWidth="1"/>
    <col min="2022" max="2034" width="9.1796875" style="80"/>
    <col min="2035" max="2035" width="3" style="80" customWidth="1"/>
    <col min="2036" max="2036" width="13.81640625" style="80" customWidth="1"/>
    <col min="2037" max="2037" width="4" style="80" customWidth="1"/>
    <col min="2038" max="2273" width="9.1796875" style="80"/>
    <col min="2274" max="2274" width="3" style="80" customWidth="1"/>
    <col min="2275" max="2275" width="11.453125" style="80" bestFit="1" customWidth="1"/>
    <col min="2276" max="2276" width="3.54296875" style="80" customWidth="1"/>
    <col min="2277" max="2277" width="14.1796875" style="80" customWidth="1"/>
    <col min="2278" max="2290" width="9.1796875" style="80"/>
    <col min="2291" max="2291" width="3" style="80" customWidth="1"/>
    <col min="2292" max="2292" width="13.81640625" style="80" customWidth="1"/>
    <col min="2293" max="2293" width="4" style="80" customWidth="1"/>
    <col min="2294" max="2529" width="9.1796875" style="80"/>
    <col min="2530" max="2530" width="3" style="80" customWidth="1"/>
    <col min="2531" max="2531" width="11.453125" style="80" bestFit="1" customWidth="1"/>
    <col min="2532" max="2532" width="3.54296875" style="80" customWidth="1"/>
    <col min="2533" max="2533" width="14.1796875" style="80" customWidth="1"/>
    <col min="2534" max="2546" width="9.1796875" style="80"/>
    <col min="2547" max="2547" width="3" style="80" customWidth="1"/>
    <col min="2548" max="2548" width="13.81640625" style="80" customWidth="1"/>
    <col min="2549" max="2549" width="4" style="80" customWidth="1"/>
    <col min="2550" max="2785" width="9.1796875" style="80"/>
    <col min="2786" max="2786" width="3" style="80" customWidth="1"/>
    <col min="2787" max="2787" width="11.453125" style="80" bestFit="1" customWidth="1"/>
    <col min="2788" max="2788" width="3.54296875" style="80" customWidth="1"/>
    <col min="2789" max="2789" width="14.1796875" style="80" customWidth="1"/>
    <col min="2790" max="2802" width="9.1796875" style="80"/>
    <col min="2803" max="2803" width="3" style="80" customWidth="1"/>
    <col min="2804" max="2804" width="13.81640625" style="80" customWidth="1"/>
    <col min="2805" max="2805" width="4" style="80" customWidth="1"/>
    <col min="2806" max="3041" width="9.1796875" style="80"/>
    <col min="3042" max="3042" width="3" style="80" customWidth="1"/>
    <col min="3043" max="3043" width="11.453125" style="80" bestFit="1" customWidth="1"/>
    <col min="3044" max="3044" width="3.54296875" style="80" customWidth="1"/>
    <col min="3045" max="3045" width="14.1796875" style="80" customWidth="1"/>
    <col min="3046" max="3058" width="9.1796875" style="80"/>
    <col min="3059" max="3059" width="3" style="80" customWidth="1"/>
    <col min="3060" max="3060" width="13.81640625" style="80" customWidth="1"/>
    <col min="3061" max="3061" width="4" style="80" customWidth="1"/>
    <col min="3062" max="3297" width="9.1796875" style="80"/>
    <col min="3298" max="3298" width="3" style="80" customWidth="1"/>
    <col min="3299" max="3299" width="11.453125" style="80" bestFit="1" customWidth="1"/>
    <col min="3300" max="3300" width="3.54296875" style="80" customWidth="1"/>
    <col min="3301" max="3301" width="14.1796875" style="80" customWidth="1"/>
    <col min="3302" max="3314" width="9.1796875" style="80"/>
    <col min="3315" max="3315" width="3" style="80" customWidth="1"/>
    <col min="3316" max="3316" width="13.81640625" style="80" customWidth="1"/>
    <col min="3317" max="3317" width="4" style="80" customWidth="1"/>
    <col min="3318" max="3553" width="9.1796875" style="80"/>
    <col min="3554" max="3554" width="3" style="80" customWidth="1"/>
    <col min="3555" max="3555" width="11.453125" style="80" bestFit="1" customWidth="1"/>
    <col min="3556" max="3556" width="3.54296875" style="80" customWidth="1"/>
    <col min="3557" max="3557" width="14.1796875" style="80" customWidth="1"/>
    <col min="3558" max="3570" width="9.1796875" style="80"/>
    <col min="3571" max="3571" width="3" style="80" customWidth="1"/>
    <col min="3572" max="3572" width="13.81640625" style="80" customWidth="1"/>
    <col min="3573" max="3573" width="4" style="80" customWidth="1"/>
    <col min="3574" max="3809" width="9.1796875" style="80"/>
    <col min="3810" max="3810" width="3" style="80" customWidth="1"/>
    <col min="3811" max="3811" width="11.453125" style="80" bestFit="1" customWidth="1"/>
    <col min="3812" max="3812" width="3.54296875" style="80" customWidth="1"/>
    <col min="3813" max="3813" width="14.1796875" style="80" customWidth="1"/>
    <col min="3814" max="3826" width="9.1796875" style="80"/>
    <col min="3827" max="3827" width="3" style="80" customWidth="1"/>
    <col min="3828" max="3828" width="13.81640625" style="80" customWidth="1"/>
    <col min="3829" max="3829" width="4" style="80" customWidth="1"/>
    <col min="3830" max="4065" width="9.1796875" style="80"/>
    <col min="4066" max="4066" width="3" style="80" customWidth="1"/>
    <col min="4067" max="4067" width="11.453125" style="80" bestFit="1" customWidth="1"/>
    <col min="4068" max="4068" width="3.54296875" style="80" customWidth="1"/>
    <col min="4069" max="4069" width="14.1796875" style="80" customWidth="1"/>
    <col min="4070" max="4082" width="9.1796875" style="80"/>
    <col min="4083" max="4083" width="3" style="80" customWidth="1"/>
    <col min="4084" max="4084" width="13.81640625" style="80" customWidth="1"/>
    <col min="4085" max="4085" width="4" style="80" customWidth="1"/>
    <col min="4086" max="4321" width="9.1796875" style="80"/>
    <col min="4322" max="4322" width="3" style="80" customWidth="1"/>
    <col min="4323" max="4323" width="11.453125" style="80" bestFit="1" customWidth="1"/>
    <col min="4324" max="4324" width="3.54296875" style="80" customWidth="1"/>
    <col min="4325" max="4325" width="14.1796875" style="80" customWidth="1"/>
    <col min="4326" max="4338" width="9.1796875" style="80"/>
    <col min="4339" max="4339" width="3" style="80" customWidth="1"/>
    <col min="4340" max="4340" width="13.81640625" style="80" customWidth="1"/>
    <col min="4341" max="4341" width="4" style="80" customWidth="1"/>
    <col min="4342" max="4577" width="9.1796875" style="80"/>
    <col min="4578" max="4578" width="3" style="80" customWidth="1"/>
    <col min="4579" max="4579" width="11.453125" style="80" bestFit="1" customWidth="1"/>
    <col min="4580" max="4580" width="3.54296875" style="80" customWidth="1"/>
    <col min="4581" max="4581" width="14.1796875" style="80" customWidth="1"/>
    <col min="4582" max="4594" width="9.1796875" style="80"/>
    <col min="4595" max="4595" width="3" style="80" customWidth="1"/>
    <col min="4596" max="4596" width="13.81640625" style="80" customWidth="1"/>
    <col min="4597" max="4597" width="4" style="80" customWidth="1"/>
    <col min="4598" max="4833" width="9.1796875" style="80"/>
    <col min="4834" max="4834" width="3" style="80" customWidth="1"/>
    <col min="4835" max="4835" width="11.453125" style="80" bestFit="1" customWidth="1"/>
    <col min="4836" max="4836" width="3.54296875" style="80" customWidth="1"/>
    <col min="4837" max="4837" width="14.1796875" style="80" customWidth="1"/>
    <col min="4838" max="4850" width="9.1796875" style="80"/>
    <col min="4851" max="4851" width="3" style="80" customWidth="1"/>
    <col min="4852" max="4852" width="13.81640625" style="80" customWidth="1"/>
    <col min="4853" max="4853" width="4" style="80" customWidth="1"/>
    <col min="4854" max="5089" width="9.1796875" style="80"/>
    <col min="5090" max="5090" width="3" style="80" customWidth="1"/>
    <col min="5091" max="5091" width="11.453125" style="80" bestFit="1" customWidth="1"/>
    <col min="5092" max="5092" width="3.54296875" style="80" customWidth="1"/>
    <col min="5093" max="5093" width="14.1796875" style="80" customWidth="1"/>
    <col min="5094" max="5106" width="9.1796875" style="80"/>
    <col min="5107" max="5107" width="3" style="80" customWidth="1"/>
    <col min="5108" max="5108" width="13.81640625" style="80" customWidth="1"/>
    <col min="5109" max="5109" width="4" style="80" customWidth="1"/>
    <col min="5110" max="5345" width="9.1796875" style="80"/>
    <col min="5346" max="5346" width="3" style="80" customWidth="1"/>
    <col min="5347" max="5347" width="11.453125" style="80" bestFit="1" customWidth="1"/>
    <col min="5348" max="5348" width="3.54296875" style="80" customWidth="1"/>
    <col min="5349" max="5349" width="14.1796875" style="80" customWidth="1"/>
    <col min="5350" max="5362" width="9.1796875" style="80"/>
    <col min="5363" max="5363" width="3" style="80" customWidth="1"/>
    <col min="5364" max="5364" width="13.81640625" style="80" customWidth="1"/>
    <col min="5365" max="5365" width="4" style="80" customWidth="1"/>
    <col min="5366" max="5601" width="9.1796875" style="80"/>
    <col min="5602" max="5602" width="3" style="80" customWidth="1"/>
    <col min="5603" max="5603" width="11.453125" style="80" bestFit="1" customWidth="1"/>
    <col min="5604" max="5604" width="3.54296875" style="80" customWidth="1"/>
    <col min="5605" max="5605" width="14.1796875" style="80" customWidth="1"/>
    <col min="5606" max="5618" width="9.1796875" style="80"/>
    <col min="5619" max="5619" width="3" style="80" customWidth="1"/>
    <col min="5620" max="5620" width="13.81640625" style="80" customWidth="1"/>
    <col min="5621" max="5621" width="4" style="80" customWidth="1"/>
    <col min="5622" max="5857" width="9.1796875" style="80"/>
    <col min="5858" max="5858" width="3" style="80" customWidth="1"/>
    <col min="5859" max="5859" width="11.453125" style="80" bestFit="1" customWidth="1"/>
    <col min="5860" max="5860" width="3.54296875" style="80" customWidth="1"/>
    <col min="5861" max="5861" width="14.1796875" style="80" customWidth="1"/>
    <col min="5862" max="5874" width="9.1796875" style="80"/>
    <col min="5875" max="5875" width="3" style="80" customWidth="1"/>
    <col min="5876" max="5876" width="13.81640625" style="80" customWidth="1"/>
    <col min="5877" max="5877" width="4" style="80" customWidth="1"/>
    <col min="5878" max="6113" width="9.1796875" style="80"/>
    <col min="6114" max="6114" width="3" style="80" customWidth="1"/>
    <col min="6115" max="6115" width="11.453125" style="80" bestFit="1" customWidth="1"/>
    <col min="6116" max="6116" width="3.54296875" style="80" customWidth="1"/>
    <col min="6117" max="6117" width="14.1796875" style="80" customWidth="1"/>
    <col min="6118" max="6130" width="9.1796875" style="80"/>
    <col min="6131" max="6131" width="3" style="80" customWidth="1"/>
    <col min="6132" max="6132" width="13.81640625" style="80" customWidth="1"/>
    <col min="6133" max="6133" width="4" style="80" customWidth="1"/>
    <col min="6134" max="6369" width="9.1796875" style="80"/>
    <col min="6370" max="6370" width="3" style="80" customWidth="1"/>
    <col min="6371" max="6371" width="11.453125" style="80" bestFit="1" customWidth="1"/>
    <col min="6372" max="6372" width="3.54296875" style="80" customWidth="1"/>
    <col min="6373" max="6373" width="14.1796875" style="80" customWidth="1"/>
    <col min="6374" max="6386" width="9.1796875" style="80"/>
    <col min="6387" max="6387" width="3" style="80" customWidth="1"/>
    <col min="6388" max="6388" width="13.81640625" style="80" customWidth="1"/>
    <col min="6389" max="6389" width="4" style="80" customWidth="1"/>
    <col min="6390" max="6625" width="9.1796875" style="80"/>
    <col min="6626" max="6626" width="3" style="80" customWidth="1"/>
    <col min="6627" max="6627" width="11.453125" style="80" bestFit="1" customWidth="1"/>
    <col min="6628" max="6628" width="3.54296875" style="80" customWidth="1"/>
    <col min="6629" max="6629" width="14.1796875" style="80" customWidth="1"/>
    <col min="6630" max="6642" width="9.1796875" style="80"/>
    <col min="6643" max="6643" width="3" style="80" customWidth="1"/>
    <col min="6644" max="6644" width="13.81640625" style="80" customWidth="1"/>
    <col min="6645" max="6645" width="4" style="80" customWidth="1"/>
    <col min="6646" max="6881" width="9.1796875" style="80"/>
    <col min="6882" max="6882" width="3" style="80" customWidth="1"/>
    <col min="6883" max="6883" width="11.453125" style="80" bestFit="1" customWidth="1"/>
    <col min="6884" max="6884" width="3.54296875" style="80" customWidth="1"/>
    <col min="6885" max="6885" width="14.1796875" style="80" customWidth="1"/>
    <col min="6886" max="6898" width="9.1796875" style="80"/>
    <col min="6899" max="6899" width="3" style="80" customWidth="1"/>
    <col min="6900" max="6900" width="13.81640625" style="80" customWidth="1"/>
    <col min="6901" max="6901" width="4" style="80" customWidth="1"/>
    <col min="6902" max="7137" width="9.1796875" style="80"/>
    <col min="7138" max="7138" width="3" style="80" customWidth="1"/>
    <col min="7139" max="7139" width="11.453125" style="80" bestFit="1" customWidth="1"/>
    <col min="7140" max="7140" width="3.54296875" style="80" customWidth="1"/>
    <col min="7141" max="7141" width="14.1796875" style="80" customWidth="1"/>
    <col min="7142" max="7154" width="9.1796875" style="80"/>
    <col min="7155" max="7155" width="3" style="80" customWidth="1"/>
    <col min="7156" max="7156" width="13.81640625" style="80" customWidth="1"/>
    <col min="7157" max="7157" width="4" style="80" customWidth="1"/>
    <col min="7158" max="7393" width="9.1796875" style="80"/>
    <col min="7394" max="7394" width="3" style="80" customWidth="1"/>
    <col min="7395" max="7395" width="11.453125" style="80" bestFit="1" customWidth="1"/>
    <col min="7396" max="7396" width="3.54296875" style="80" customWidth="1"/>
    <col min="7397" max="7397" width="14.1796875" style="80" customWidth="1"/>
    <col min="7398" max="7410" width="9.1796875" style="80"/>
    <col min="7411" max="7411" width="3" style="80" customWidth="1"/>
    <col min="7412" max="7412" width="13.81640625" style="80" customWidth="1"/>
    <col min="7413" max="7413" width="4" style="80" customWidth="1"/>
    <col min="7414" max="7649" width="9.1796875" style="80"/>
    <col min="7650" max="7650" width="3" style="80" customWidth="1"/>
    <col min="7651" max="7651" width="11.453125" style="80" bestFit="1" customWidth="1"/>
    <col min="7652" max="7652" width="3.54296875" style="80" customWidth="1"/>
    <col min="7653" max="7653" width="14.1796875" style="80" customWidth="1"/>
    <col min="7654" max="7666" width="9.1796875" style="80"/>
    <col min="7667" max="7667" width="3" style="80" customWidth="1"/>
    <col min="7668" max="7668" width="13.81640625" style="80" customWidth="1"/>
    <col min="7669" max="7669" width="4" style="80" customWidth="1"/>
    <col min="7670" max="7905" width="9.1796875" style="80"/>
    <col min="7906" max="7906" width="3" style="80" customWidth="1"/>
    <col min="7907" max="7907" width="11.453125" style="80" bestFit="1" customWidth="1"/>
    <col min="7908" max="7908" width="3.54296875" style="80" customWidth="1"/>
    <col min="7909" max="7909" width="14.1796875" style="80" customWidth="1"/>
    <col min="7910" max="7922" width="9.1796875" style="80"/>
    <col min="7923" max="7923" width="3" style="80" customWidth="1"/>
    <col min="7924" max="7924" width="13.81640625" style="80" customWidth="1"/>
    <col min="7925" max="7925" width="4" style="80" customWidth="1"/>
    <col min="7926" max="8161" width="9.1796875" style="80"/>
    <col min="8162" max="8162" width="3" style="80" customWidth="1"/>
    <col min="8163" max="8163" width="11.453125" style="80" bestFit="1" customWidth="1"/>
    <col min="8164" max="8164" width="3.54296875" style="80" customWidth="1"/>
    <col min="8165" max="8165" width="14.1796875" style="80" customWidth="1"/>
    <col min="8166" max="8178" width="9.1796875" style="80"/>
    <col min="8179" max="8179" width="3" style="80" customWidth="1"/>
    <col min="8180" max="8180" width="13.81640625" style="80" customWidth="1"/>
    <col min="8181" max="8181" width="4" style="80" customWidth="1"/>
    <col min="8182" max="8417" width="9.1796875" style="80"/>
    <col min="8418" max="8418" width="3" style="80" customWidth="1"/>
    <col min="8419" max="8419" width="11.453125" style="80" bestFit="1" customWidth="1"/>
    <col min="8420" max="8420" width="3.54296875" style="80" customWidth="1"/>
    <col min="8421" max="8421" width="14.1796875" style="80" customWidth="1"/>
    <col min="8422" max="8434" width="9.1796875" style="80"/>
    <col min="8435" max="8435" width="3" style="80" customWidth="1"/>
    <col min="8436" max="8436" width="13.81640625" style="80" customWidth="1"/>
    <col min="8437" max="8437" width="4" style="80" customWidth="1"/>
    <col min="8438" max="8673" width="9.1796875" style="80"/>
    <col min="8674" max="8674" width="3" style="80" customWidth="1"/>
    <col min="8675" max="8675" width="11.453125" style="80" bestFit="1" customWidth="1"/>
    <col min="8676" max="8676" width="3.54296875" style="80" customWidth="1"/>
    <col min="8677" max="8677" width="14.1796875" style="80" customWidth="1"/>
    <col min="8678" max="8690" width="9.1796875" style="80"/>
    <col min="8691" max="8691" width="3" style="80" customWidth="1"/>
    <col min="8692" max="8692" width="13.81640625" style="80" customWidth="1"/>
    <col min="8693" max="8693" width="4" style="80" customWidth="1"/>
    <col min="8694" max="8929" width="9.1796875" style="80"/>
    <col min="8930" max="8930" width="3" style="80" customWidth="1"/>
    <col min="8931" max="8931" width="11.453125" style="80" bestFit="1" customWidth="1"/>
    <col min="8932" max="8932" width="3.54296875" style="80" customWidth="1"/>
    <col min="8933" max="8933" width="14.1796875" style="80" customWidth="1"/>
    <col min="8934" max="8946" width="9.1796875" style="80"/>
    <col min="8947" max="8947" width="3" style="80" customWidth="1"/>
    <col min="8948" max="8948" width="13.81640625" style="80" customWidth="1"/>
    <col min="8949" max="8949" width="4" style="80" customWidth="1"/>
    <col min="8950" max="9185" width="9.1796875" style="80"/>
    <col min="9186" max="9186" width="3" style="80" customWidth="1"/>
    <col min="9187" max="9187" width="11.453125" style="80" bestFit="1" customWidth="1"/>
    <col min="9188" max="9188" width="3.54296875" style="80" customWidth="1"/>
    <col min="9189" max="9189" width="14.1796875" style="80" customWidth="1"/>
    <col min="9190" max="9202" width="9.1796875" style="80"/>
    <col min="9203" max="9203" width="3" style="80" customWidth="1"/>
    <col min="9204" max="9204" width="13.81640625" style="80" customWidth="1"/>
    <col min="9205" max="9205" width="4" style="80" customWidth="1"/>
    <col min="9206" max="9441" width="9.1796875" style="80"/>
    <col min="9442" max="9442" width="3" style="80" customWidth="1"/>
    <col min="9443" max="9443" width="11.453125" style="80" bestFit="1" customWidth="1"/>
    <col min="9444" max="9444" width="3.54296875" style="80" customWidth="1"/>
    <col min="9445" max="9445" width="14.1796875" style="80" customWidth="1"/>
    <col min="9446" max="9458" width="9.1796875" style="80"/>
    <col min="9459" max="9459" width="3" style="80" customWidth="1"/>
    <col min="9460" max="9460" width="13.81640625" style="80" customWidth="1"/>
    <col min="9461" max="9461" width="4" style="80" customWidth="1"/>
    <col min="9462" max="9697" width="9.1796875" style="80"/>
    <col min="9698" max="9698" width="3" style="80" customWidth="1"/>
    <col min="9699" max="9699" width="11.453125" style="80" bestFit="1" customWidth="1"/>
    <col min="9700" max="9700" width="3.54296875" style="80" customWidth="1"/>
    <col min="9701" max="9701" width="14.1796875" style="80" customWidth="1"/>
    <col min="9702" max="9714" width="9.1796875" style="80"/>
    <col min="9715" max="9715" width="3" style="80" customWidth="1"/>
    <col min="9716" max="9716" width="13.81640625" style="80" customWidth="1"/>
    <col min="9717" max="9717" width="4" style="80" customWidth="1"/>
    <col min="9718" max="9953" width="9.1796875" style="80"/>
    <col min="9954" max="9954" width="3" style="80" customWidth="1"/>
    <col min="9955" max="9955" width="11.453125" style="80" bestFit="1" customWidth="1"/>
    <col min="9956" max="9956" width="3.54296875" style="80" customWidth="1"/>
    <col min="9957" max="9957" width="14.1796875" style="80" customWidth="1"/>
    <col min="9958" max="9970" width="9.1796875" style="80"/>
    <col min="9971" max="9971" width="3" style="80" customWidth="1"/>
    <col min="9972" max="9972" width="13.81640625" style="80" customWidth="1"/>
    <col min="9973" max="9973" width="4" style="80" customWidth="1"/>
    <col min="9974" max="10209" width="9.1796875" style="80"/>
    <col min="10210" max="10210" width="3" style="80" customWidth="1"/>
    <col min="10211" max="10211" width="11.453125" style="80" bestFit="1" customWidth="1"/>
    <col min="10212" max="10212" width="3.54296875" style="80" customWidth="1"/>
    <col min="10213" max="10213" width="14.1796875" style="80" customWidth="1"/>
    <col min="10214" max="10226" width="9.1796875" style="80"/>
    <col min="10227" max="10227" width="3" style="80" customWidth="1"/>
    <col min="10228" max="10228" width="13.81640625" style="80" customWidth="1"/>
    <col min="10229" max="10229" width="4" style="80" customWidth="1"/>
    <col min="10230" max="10465" width="9.1796875" style="80"/>
    <col min="10466" max="10466" width="3" style="80" customWidth="1"/>
    <col min="10467" max="10467" width="11.453125" style="80" bestFit="1" customWidth="1"/>
    <col min="10468" max="10468" width="3.54296875" style="80" customWidth="1"/>
    <col min="10469" max="10469" width="14.1796875" style="80" customWidth="1"/>
    <col min="10470" max="10482" width="9.1796875" style="80"/>
    <col min="10483" max="10483" width="3" style="80" customWidth="1"/>
    <col min="10484" max="10484" width="13.81640625" style="80" customWidth="1"/>
    <col min="10485" max="10485" width="4" style="80" customWidth="1"/>
    <col min="10486" max="10721" width="9.1796875" style="80"/>
    <col min="10722" max="10722" width="3" style="80" customWidth="1"/>
    <col min="10723" max="10723" width="11.453125" style="80" bestFit="1" customWidth="1"/>
    <col min="10724" max="10724" width="3.54296875" style="80" customWidth="1"/>
    <col min="10725" max="10725" width="14.1796875" style="80" customWidth="1"/>
    <col min="10726" max="10738" width="9.1796875" style="80"/>
    <col min="10739" max="10739" width="3" style="80" customWidth="1"/>
    <col min="10740" max="10740" width="13.81640625" style="80" customWidth="1"/>
    <col min="10741" max="10741" width="4" style="80" customWidth="1"/>
    <col min="10742" max="10977" width="9.1796875" style="80"/>
    <col min="10978" max="10978" width="3" style="80" customWidth="1"/>
    <col min="10979" max="10979" width="11.453125" style="80" bestFit="1" customWidth="1"/>
    <col min="10980" max="10980" width="3.54296875" style="80" customWidth="1"/>
    <col min="10981" max="10981" width="14.1796875" style="80" customWidth="1"/>
    <col min="10982" max="10994" width="9.1796875" style="80"/>
    <col min="10995" max="10995" width="3" style="80" customWidth="1"/>
    <col min="10996" max="10996" width="13.81640625" style="80" customWidth="1"/>
    <col min="10997" max="10997" width="4" style="80" customWidth="1"/>
    <col min="10998" max="11233" width="9.1796875" style="80"/>
    <col min="11234" max="11234" width="3" style="80" customWidth="1"/>
    <col min="11235" max="11235" width="11.453125" style="80" bestFit="1" customWidth="1"/>
    <col min="11236" max="11236" width="3.54296875" style="80" customWidth="1"/>
    <col min="11237" max="11237" width="14.1796875" style="80" customWidth="1"/>
    <col min="11238" max="11250" width="9.1796875" style="80"/>
    <col min="11251" max="11251" width="3" style="80" customWidth="1"/>
    <col min="11252" max="11252" width="13.81640625" style="80" customWidth="1"/>
    <col min="11253" max="11253" width="4" style="80" customWidth="1"/>
    <col min="11254" max="11489" width="9.1796875" style="80"/>
    <col min="11490" max="11490" width="3" style="80" customWidth="1"/>
    <col min="11491" max="11491" width="11.453125" style="80" bestFit="1" customWidth="1"/>
    <col min="11492" max="11492" width="3.54296875" style="80" customWidth="1"/>
    <col min="11493" max="11493" width="14.1796875" style="80" customWidth="1"/>
    <col min="11494" max="11506" width="9.1796875" style="80"/>
    <col min="11507" max="11507" width="3" style="80" customWidth="1"/>
    <col min="11508" max="11508" width="13.81640625" style="80" customWidth="1"/>
    <col min="11509" max="11509" width="4" style="80" customWidth="1"/>
    <col min="11510" max="11745" width="9.1796875" style="80"/>
    <col min="11746" max="11746" width="3" style="80" customWidth="1"/>
    <col min="11747" max="11747" width="11.453125" style="80" bestFit="1" customWidth="1"/>
    <col min="11748" max="11748" width="3.54296875" style="80" customWidth="1"/>
    <col min="11749" max="11749" width="14.1796875" style="80" customWidth="1"/>
    <col min="11750" max="11762" width="9.1796875" style="80"/>
    <col min="11763" max="11763" width="3" style="80" customWidth="1"/>
    <col min="11764" max="11764" width="13.81640625" style="80" customWidth="1"/>
    <col min="11765" max="11765" width="4" style="80" customWidth="1"/>
    <col min="11766" max="12001" width="9.1796875" style="80"/>
    <col min="12002" max="12002" width="3" style="80" customWidth="1"/>
    <col min="12003" max="12003" width="11.453125" style="80" bestFit="1" customWidth="1"/>
    <col min="12004" max="12004" width="3.54296875" style="80" customWidth="1"/>
    <col min="12005" max="12005" width="14.1796875" style="80" customWidth="1"/>
    <col min="12006" max="12018" width="9.1796875" style="80"/>
    <col min="12019" max="12019" width="3" style="80" customWidth="1"/>
    <col min="12020" max="12020" width="13.81640625" style="80" customWidth="1"/>
    <col min="12021" max="12021" width="4" style="80" customWidth="1"/>
    <col min="12022" max="12257" width="9.1796875" style="80"/>
    <col min="12258" max="12258" width="3" style="80" customWidth="1"/>
    <col min="12259" max="12259" width="11.453125" style="80" bestFit="1" customWidth="1"/>
    <col min="12260" max="12260" width="3.54296875" style="80" customWidth="1"/>
    <col min="12261" max="12261" width="14.1796875" style="80" customWidth="1"/>
    <col min="12262" max="12274" width="9.1796875" style="80"/>
    <col min="12275" max="12275" width="3" style="80" customWidth="1"/>
    <col min="12276" max="12276" width="13.81640625" style="80" customWidth="1"/>
    <col min="12277" max="12277" width="4" style="80" customWidth="1"/>
    <col min="12278" max="12513" width="9.1796875" style="80"/>
    <col min="12514" max="12514" width="3" style="80" customWidth="1"/>
    <col min="12515" max="12515" width="11.453125" style="80" bestFit="1" customWidth="1"/>
    <col min="12516" max="12516" width="3.54296875" style="80" customWidth="1"/>
    <col min="12517" max="12517" width="14.1796875" style="80" customWidth="1"/>
    <col min="12518" max="12530" width="9.1796875" style="80"/>
    <col min="12531" max="12531" width="3" style="80" customWidth="1"/>
    <col min="12532" max="12532" width="13.81640625" style="80" customWidth="1"/>
    <col min="12533" max="12533" width="4" style="80" customWidth="1"/>
    <col min="12534" max="12769" width="9.1796875" style="80"/>
    <col min="12770" max="12770" width="3" style="80" customWidth="1"/>
    <col min="12771" max="12771" width="11.453125" style="80" bestFit="1" customWidth="1"/>
    <col min="12772" max="12772" width="3.54296875" style="80" customWidth="1"/>
    <col min="12773" max="12773" width="14.1796875" style="80" customWidth="1"/>
    <col min="12774" max="12786" width="9.1796875" style="80"/>
    <col min="12787" max="12787" width="3" style="80" customWidth="1"/>
    <col min="12788" max="12788" width="13.81640625" style="80" customWidth="1"/>
    <col min="12789" max="12789" width="4" style="80" customWidth="1"/>
    <col min="12790" max="13025" width="9.1796875" style="80"/>
    <col min="13026" max="13026" width="3" style="80" customWidth="1"/>
    <col min="13027" max="13027" width="11.453125" style="80" bestFit="1" customWidth="1"/>
    <col min="13028" max="13028" width="3.54296875" style="80" customWidth="1"/>
    <col min="13029" max="13029" width="14.1796875" style="80" customWidth="1"/>
    <col min="13030" max="13042" width="9.1796875" style="80"/>
    <col min="13043" max="13043" width="3" style="80" customWidth="1"/>
    <col min="13044" max="13044" width="13.81640625" style="80" customWidth="1"/>
    <col min="13045" max="13045" width="4" style="80" customWidth="1"/>
    <col min="13046" max="13281" width="9.1796875" style="80"/>
    <col min="13282" max="13282" width="3" style="80" customWidth="1"/>
    <col min="13283" max="13283" width="11.453125" style="80" bestFit="1" customWidth="1"/>
    <col min="13284" max="13284" width="3.54296875" style="80" customWidth="1"/>
    <col min="13285" max="13285" width="14.1796875" style="80" customWidth="1"/>
    <col min="13286" max="13298" width="9.1796875" style="80"/>
    <col min="13299" max="13299" width="3" style="80" customWidth="1"/>
    <col min="13300" max="13300" width="13.81640625" style="80" customWidth="1"/>
    <col min="13301" max="13301" width="4" style="80" customWidth="1"/>
    <col min="13302" max="13537" width="9.1796875" style="80"/>
    <col min="13538" max="13538" width="3" style="80" customWidth="1"/>
    <col min="13539" max="13539" width="11.453125" style="80" bestFit="1" customWidth="1"/>
    <col min="13540" max="13540" width="3.54296875" style="80" customWidth="1"/>
    <col min="13541" max="13541" width="14.1796875" style="80" customWidth="1"/>
    <col min="13542" max="13554" width="9.1796875" style="80"/>
    <col min="13555" max="13555" width="3" style="80" customWidth="1"/>
    <col min="13556" max="13556" width="13.81640625" style="80" customWidth="1"/>
    <col min="13557" max="13557" width="4" style="80" customWidth="1"/>
    <col min="13558" max="13793" width="9.1796875" style="80"/>
    <col min="13794" max="13794" width="3" style="80" customWidth="1"/>
    <col min="13795" max="13795" width="11.453125" style="80" bestFit="1" customWidth="1"/>
    <col min="13796" max="13796" width="3.54296875" style="80" customWidth="1"/>
    <col min="13797" max="13797" width="14.1796875" style="80" customWidth="1"/>
    <col min="13798" max="13810" width="9.1796875" style="80"/>
    <col min="13811" max="13811" width="3" style="80" customWidth="1"/>
    <col min="13812" max="13812" width="13.81640625" style="80" customWidth="1"/>
    <col min="13813" max="13813" width="4" style="80" customWidth="1"/>
    <col min="13814" max="14049" width="9.1796875" style="80"/>
    <col min="14050" max="14050" width="3" style="80" customWidth="1"/>
    <col min="14051" max="14051" width="11.453125" style="80" bestFit="1" customWidth="1"/>
    <col min="14052" max="14052" width="3.54296875" style="80" customWidth="1"/>
    <col min="14053" max="14053" width="14.1796875" style="80" customWidth="1"/>
    <col min="14054" max="14066" width="9.1796875" style="80"/>
    <col min="14067" max="14067" width="3" style="80" customWidth="1"/>
    <col min="14068" max="14068" width="13.81640625" style="80" customWidth="1"/>
    <col min="14069" max="14069" width="4" style="80" customWidth="1"/>
    <col min="14070" max="14305" width="9.1796875" style="80"/>
    <col min="14306" max="14306" width="3" style="80" customWidth="1"/>
    <col min="14307" max="14307" width="11.453125" style="80" bestFit="1" customWidth="1"/>
    <col min="14308" max="14308" width="3.54296875" style="80" customWidth="1"/>
    <col min="14309" max="14309" width="14.1796875" style="80" customWidth="1"/>
    <col min="14310" max="14322" width="9.1796875" style="80"/>
    <col min="14323" max="14323" width="3" style="80" customWidth="1"/>
    <col min="14324" max="14324" width="13.81640625" style="80" customWidth="1"/>
    <col min="14325" max="14325" width="4" style="80" customWidth="1"/>
    <col min="14326" max="14561" width="9.1796875" style="80"/>
    <col min="14562" max="14562" width="3" style="80" customWidth="1"/>
    <col min="14563" max="14563" width="11.453125" style="80" bestFit="1" customWidth="1"/>
    <col min="14564" max="14564" width="3.54296875" style="80" customWidth="1"/>
    <col min="14565" max="14565" width="14.1796875" style="80" customWidth="1"/>
    <col min="14566" max="14578" width="9.1796875" style="80"/>
    <col min="14579" max="14579" width="3" style="80" customWidth="1"/>
    <col min="14580" max="14580" width="13.81640625" style="80" customWidth="1"/>
    <col min="14581" max="14581" width="4" style="80" customWidth="1"/>
    <col min="14582" max="14817" width="9.1796875" style="80"/>
    <col min="14818" max="14818" width="3" style="80" customWidth="1"/>
    <col min="14819" max="14819" width="11.453125" style="80" bestFit="1" customWidth="1"/>
    <col min="14820" max="14820" width="3.54296875" style="80" customWidth="1"/>
    <col min="14821" max="14821" width="14.1796875" style="80" customWidth="1"/>
    <col min="14822" max="14834" width="9.1796875" style="80"/>
    <col min="14835" max="14835" width="3" style="80" customWidth="1"/>
    <col min="14836" max="14836" width="13.81640625" style="80" customWidth="1"/>
    <col min="14837" max="14837" width="4" style="80" customWidth="1"/>
    <col min="14838" max="15073" width="9.1796875" style="80"/>
    <col min="15074" max="15074" width="3" style="80" customWidth="1"/>
    <col min="15075" max="15075" width="11.453125" style="80" bestFit="1" customWidth="1"/>
    <col min="15076" max="15076" width="3.54296875" style="80" customWidth="1"/>
    <col min="15077" max="15077" width="14.1796875" style="80" customWidth="1"/>
    <col min="15078" max="15090" width="9.1796875" style="80"/>
    <col min="15091" max="15091" width="3" style="80" customWidth="1"/>
    <col min="15092" max="15092" width="13.81640625" style="80" customWidth="1"/>
    <col min="15093" max="15093" width="4" style="80" customWidth="1"/>
    <col min="15094" max="15329" width="9.1796875" style="80"/>
    <col min="15330" max="15330" width="3" style="80" customWidth="1"/>
    <col min="15331" max="15331" width="11.453125" style="80" bestFit="1" customWidth="1"/>
    <col min="15332" max="15332" width="3.54296875" style="80" customWidth="1"/>
    <col min="15333" max="15333" width="14.1796875" style="80" customWidth="1"/>
    <col min="15334" max="15346" width="9.1796875" style="80"/>
    <col min="15347" max="15347" width="3" style="80" customWidth="1"/>
    <col min="15348" max="15348" width="13.81640625" style="80" customWidth="1"/>
    <col min="15349" max="15349" width="4" style="80" customWidth="1"/>
    <col min="15350" max="15585" width="9.1796875" style="80"/>
    <col min="15586" max="15586" width="3" style="80" customWidth="1"/>
    <col min="15587" max="15587" width="11.453125" style="80" bestFit="1" customWidth="1"/>
    <col min="15588" max="15588" width="3.54296875" style="80" customWidth="1"/>
    <col min="15589" max="15589" width="14.1796875" style="80" customWidth="1"/>
    <col min="15590" max="15602" width="9.1796875" style="80"/>
    <col min="15603" max="15603" width="3" style="80" customWidth="1"/>
    <col min="15604" max="15604" width="13.81640625" style="80" customWidth="1"/>
    <col min="15605" max="15605" width="4" style="80" customWidth="1"/>
    <col min="15606" max="15841" width="9.1796875" style="80"/>
    <col min="15842" max="15842" width="3" style="80" customWidth="1"/>
    <col min="15843" max="15843" width="11.453125" style="80" bestFit="1" customWidth="1"/>
    <col min="15844" max="15844" width="3.54296875" style="80" customWidth="1"/>
    <col min="15845" max="15845" width="14.1796875" style="80" customWidth="1"/>
    <col min="15846" max="15858" width="9.1796875" style="80"/>
    <col min="15859" max="15859" width="3" style="80" customWidth="1"/>
    <col min="15860" max="15860" width="13.81640625" style="80" customWidth="1"/>
    <col min="15861" max="15861" width="4" style="80" customWidth="1"/>
    <col min="15862" max="16097" width="9.1796875" style="80"/>
    <col min="16098" max="16098" width="3" style="80" customWidth="1"/>
    <col min="16099" max="16099" width="11.453125" style="80" bestFit="1" customWidth="1"/>
    <col min="16100" max="16100" width="3.54296875" style="80" customWidth="1"/>
    <col min="16101" max="16101" width="14.1796875" style="80" customWidth="1"/>
    <col min="16102" max="16114" width="9.1796875" style="80"/>
    <col min="16115" max="16115" width="3" style="80" customWidth="1"/>
    <col min="16116" max="16116" width="13.81640625" style="80" customWidth="1"/>
    <col min="16117" max="16117" width="4" style="80" customWidth="1"/>
    <col min="16118" max="16384" width="9.1796875" style="80"/>
  </cols>
  <sheetData>
    <row r="1" spans="1:59" s="88" customFormat="1" x14ac:dyDescent="0.35">
      <c r="A1" s="63" t="s">
        <v>492</v>
      </c>
      <c r="B1" s="64"/>
    </row>
    <row r="2" spans="1:59" x14ac:dyDescent="0.35">
      <c r="A2" s="95" t="s">
        <v>491</v>
      </c>
    </row>
    <row r="3" spans="1:59" x14ac:dyDescent="0.35">
      <c r="A3" s="95"/>
    </row>
    <row r="4" spans="1:59" x14ac:dyDescent="0.35">
      <c r="A4" s="95"/>
    </row>
    <row r="5" spans="1:59" x14ac:dyDescent="0.35">
      <c r="A5" s="63" t="s">
        <v>745</v>
      </c>
      <c r="B5" s="76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63" t="s">
        <v>746</v>
      </c>
      <c r="Q5" s="70"/>
      <c r="R5" s="70"/>
      <c r="S5" s="70"/>
      <c r="T5" s="70"/>
      <c r="U5" s="70"/>
      <c r="V5" s="70"/>
      <c r="W5" s="63" t="s">
        <v>747</v>
      </c>
      <c r="AB5" s="70"/>
      <c r="AC5" s="70"/>
      <c r="AD5" s="70"/>
      <c r="AE5" s="70"/>
      <c r="AF5" s="70"/>
      <c r="AG5" s="70"/>
      <c r="AH5" s="70"/>
      <c r="AI5" s="70"/>
      <c r="AJ5" s="70"/>
      <c r="AK5" s="70"/>
      <c r="AL5" s="63" t="s">
        <v>748</v>
      </c>
      <c r="AM5" s="70"/>
      <c r="AN5" s="70"/>
      <c r="AO5" s="70"/>
      <c r="AP5" s="70"/>
      <c r="AQ5" s="70"/>
      <c r="AR5" s="70"/>
      <c r="AS5" s="70"/>
      <c r="AT5" s="70"/>
      <c r="AU5" s="70"/>
      <c r="AV5" s="70"/>
      <c r="AW5" s="70"/>
      <c r="AX5" s="70"/>
      <c r="AY5" s="70"/>
      <c r="AZ5" s="70"/>
      <c r="BA5" s="70"/>
      <c r="BB5" s="70"/>
      <c r="BC5" s="70"/>
      <c r="BD5" s="70"/>
      <c r="BE5" s="70"/>
      <c r="BF5" s="70"/>
      <c r="BG5" s="70"/>
    </row>
    <row r="6" spans="1:59" x14ac:dyDescent="0.35">
      <c r="A6" s="70"/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70"/>
      <c r="W6" s="70"/>
      <c r="AA6" s="70"/>
      <c r="AL6" s="70"/>
      <c r="AM6" s="70"/>
      <c r="AN6" s="70"/>
      <c r="AO6" s="70"/>
      <c r="AP6" s="70"/>
      <c r="AQ6" s="70"/>
      <c r="AR6" s="70"/>
      <c r="AS6" s="70"/>
      <c r="AT6" s="70"/>
      <c r="AU6" s="70"/>
      <c r="AV6" s="70"/>
      <c r="AW6" s="70"/>
      <c r="AX6" s="70"/>
      <c r="AY6" s="70"/>
      <c r="AZ6" s="70"/>
      <c r="BA6" s="70"/>
      <c r="BB6" s="70"/>
      <c r="BC6" s="70"/>
      <c r="BD6" s="70"/>
      <c r="BE6" s="70"/>
      <c r="BF6" s="70"/>
      <c r="BG6" s="70"/>
    </row>
    <row r="7" spans="1:59" x14ac:dyDescent="0.35">
      <c r="A7" s="70"/>
      <c r="B7" s="70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  <c r="AA7" s="70"/>
      <c r="AB7" s="70"/>
      <c r="AC7" s="70"/>
      <c r="AD7" s="70"/>
      <c r="AE7" s="70"/>
      <c r="AF7" s="70"/>
      <c r="AG7" s="70"/>
      <c r="AH7" s="70"/>
      <c r="AI7" s="70"/>
      <c r="AJ7" s="70"/>
      <c r="AK7" s="70"/>
      <c r="AL7" s="70"/>
      <c r="AM7" s="70"/>
      <c r="AN7" s="70"/>
      <c r="AO7" s="70"/>
      <c r="AP7" s="70"/>
      <c r="AQ7" s="70"/>
      <c r="AR7" s="70"/>
      <c r="AS7" s="70"/>
      <c r="AT7" s="70"/>
      <c r="AU7" s="70"/>
      <c r="AV7" s="70"/>
      <c r="AW7" s="70"/>
      <c r="AX7" s="70"/>
      <c r="AY7" s="70"/>
      <c r="AZ7" s="70"/>
      <c r="BA7" s="70"/>
      <c r="BB7" s="70"/>
      <c r="BC7" s="70"/>
      <c r="BD7" s="70"/>
      <c r="BE7" s="70"/>
      <c r="BF7" s="70"/>
      <c r="BG7" s="70"/>
    </row>
    <row r="8" spans="1:59" x14ac:dyDescent="0.35">
      <c r="A8" s="70"/>
      <c r="B8" s="70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107"/>
      <c r="R8" s="70"/>
      <c r="S8" s="70"/>
      <c r="T8" s="70"/>
      <c r="U8" s="70"/>
      <c r="V8" s="70"/>
      <c r="W8" s="70"/>
      <c r="X8" s="107"/>
      <c r="Y8" s="70"/>
      <c r="Z8" s="70"/>
      <c r="AA8" s="70"/>
      <c r="AB8" s="70"/>
      <c r="AC8" s="70"/>
      <c r="AD8" s="70"/>
      <c r="AE8" s="70"/>
      <c r="AF8" s="70"/>
      <c r="AG8" s="70"/>
      <c r="AH8" s="70"/>
      <c r="AI8" s="70"/>
      <c r="AJ8" s="70"/>
      <c r="AK8" s="70"/>
      <c r="AL8" s="70"/>
      <c r="AM8" s="107"/>
      <c r="AN8" s="70"/>
      <c r="AO8" s="70"/>
      <c r="AP8" s="70"/>
      <c r="AQ8" s="70"/>
      <c r="AR8" s="70"/>
      <c r="AS8" s="70"/>
      <c r="AT8" s="70"/>
      <c r="AU8" s="70"/>
      <c r="AV8" s="70"/>
      <c r="AW8" s="70"/>
      <c r="AX8" s="70"/>
      <c r="AY8" s="70"/>
      <c r="AZ8" s="70"/>
      <c r="BA8" s="70"/>
      <c r="BB8" s="70"/>
      <c r="BC8" s="70"/>
      <c r="BD8" s="70"/>
      <c r="BE8" s="70"/>
      <c r="BF8" s="70"/>
      <c r="BG8" s="70"/>
    </row>
    <row r="9" spans="1:59" x14ac:dyDescent="0.35">
      <c r="A9" s="70"/>
      <c r="B9" s="107"/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107"/>
      <c r="R9" s="70"/>
      <c r="S9" s="70"/>
      <c r="T9" s="70"/>
      <c r="U9" s="70"/>
      <c r="V9" s="70"/>
      <c r="W9" s="70"/>
      <c r="X9" s="107"/>
      <c r="Y9" s="70"/>
      <c r="Z9" s="70"/>
      <c r="AA9" s="70"/>
      <c r="AB9" s="70"/>
      <c r="AC9" s="70"/>
      <c r="AD9" s="70"/>
      <c r="AE9" s="70"/>
      <c r="AF9" s="70"/>
      <c r="AG9" s="70"/>
      <c r="AH9" s="70"/>
      <c r="AI9" s="70"/>
      <c r="AJ9" s="70"/>
      <c r="AK9" s="70"/>
      <c r="AL9" s="70"/>
      <c r="AM9" s="107"/>
      <c r="AN9" s="70"/>
      <c r="AO9" s="70"/>
      <c r="AP9" s="70"/>
      <c r="AQ9" s="70"/>
      <c r="AR9" s="70"/>
      <c r="AS9" s="70"/>
      <c r="AT9" s="70"/>
      <c r="AU9" s="70"/>
      <c r="AV9" s="70"/>
      <c r="AW9" s="70"/>
      <c r="AX9" s="70"/>
      <c r="AY9" s="70"/>
      <c r="AZ9" s="70"/>
      <c r="BA9" s="70"/>
      <c r="BB9" s="70"/>
      <c r="BC9" s="70"/>
      <c r="BD9" s="70"/>
      <c r="BE9" s="70"/>
      <c r="BF9" s="70"/>
      <c r="BG9" s="70"/>
    </row>
    <row r="10" spans="1:59" x14ac:dyDescent="0.35">
      <c r="A10" s="70"/>
      <c r="B10" s="107"/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0"/>
      <c r="V10" s="70"/>
      <c r="W10" s="70"/>
      <c r="X10" s="107"/>
      <c r="Y10" s="70"/>
      <c r="Z10" s="70"/>
      <c r="AA10" s="70"/>
      <c r="AB10" s="70"/>
      <c r="AC10" s="70"/>
      <c r="AD10" s="70"/>
      <c r="AE10" s="70"/>
      <c r="AF10" s="70"/>
      <c r="AG10" s="70"/>
      <c r="AH10" s="70"/>
      <c r="AI10" s="70"/>
      <c r="AJ10" s="70"/>
      <c r="AK10" s="70"/>
      <c r="AL10" s="70"/>
      <c r="AM10" s="107"/>
      <c r="AN10" s="70"/>
      <c r="AO10" s="70"/>
      <c r="AP10" s="70"/>
      <c r="AQ10" s="70"/>
      <c r="AR10" s="70"/>
      <c r="AS10" s="70"/>
      <c r="AT10" s="70"/>
      <c r="AU10" s="70"/>
      <c r="AV10" s="70"/>
      <c r="AW10" s="70"/>
      <c r="AX10" s="70"/>
      <c r="AY10" s="70"/>
      <c r="AZ10" s="70"/>
      <c r="BA10" s="70"/>
      <c r="BB10" s="70"/>
      <c r="BC10" s="70"/>
      <c r="BD10" s="70"/>
      <c r="BE10" s="70"/>
      <c r="BF10" s="70"/>
      <c r="BG10" s="70"/>
    </row>
    <row r="11" spans="1:59" x14ac:dyDescent="0.35">
      <c r="A11" s="70"/>
      <c r="B11" s="70"/>
      <c r="C11" s="70"/>
      <c r="D11" s="70"/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70"/>
      <c r="P11" s="70"/>
      <c r="T11" s="70"/>
      <c r="U11" s="70"/>
      <c r="V11" s="70"/>
      <c r="W11" s="70"/>
      <c r="X11" s="107"/>
      <c r="Y11" s="70"/>
      <c r="Z11" s="70"/>
      <c r="AA11" s="70"/>
      <c r="AB11" s="70"/>
      <c r="AC11" s="70"/>
      <c r="AD11" s="70"/>
      <c r="AE11" s="70"/>
      <c r="AF11" s="70"/>
      <c r="AG11" s="70"/>
      <c r="AH11" s="70"/>
      <c r="AI11" s="70"/>
      <c r="AJ11" s="70"/>
      <c r="AK11" s="70"/>
      <c r="AL11" s="70"/>
      <c r="AM11" s="107"/>
      <c r="AN11" s="70"/>
      <c r="AO11" s="70"/>
      <c r="AP11" s="70"/>
      <c r="AQ11" s="70"/>
      <c r="AR11" s="70"/>
      <c r="AS11" s="70"/>
      <c r="AT11" s="70"/>
      <c r="AU11" s="70"/>
      <c r="AV11" s="70"/>
      <c r="AW11" s="70"/>
      <c r="AX11" s="70"/>
      <c r="AY11" s="70"/>
      <c r="AZ11" s="70"/>
      <c r="BA11" s="70"/>
      <c r="BB11" s="70"/>
      <c r="BC11" s="70"/>
      <c r="BD11" s="70"/>
      <c r="BE11" s="70"/>
      <c r="BF11" s="70"/>
      <c r="BG11" s="70"/>
    </row>
    <row r="12" spans="1:59" ht="34.5" customHeight="1" x14ac:dyDescent="0.35">
      <c r="A12" s="70"/>
      <c r="C12" s="215"/>
      <c r="D12" s="216"/>
      <c r="E12" s="70"/>
      <c r="F12" s="70"/>
      <c r="G12" s="70"/>
      <c r="H12" s="70"/>
      <c r="I12" s="70"/>
      <c r="J12" s="70"/>
      <c r="K12" s="70"/>
      <c r="L12" s="70"/>
      <c r="M12" s="70"/>
      <c r="N12" s="70"/>
      <c r="O12" s="70"/>
      <c r="P12" s="70"/>
      <c r="Q12" s="70"/>
      <c r="R12" s="70"/>
      <c r="S12" s="70"/>
      <c r="T12" s="70"/>
      <c r="U12" s="70"/>
      <c r="V12" s="70"/>
      <c r="W12" s="70"/>
      <c r="X12" s="70"/>
      <c r="Y12" s="70"/>
      <c r="Z12" s="70"/>
      <c r="AA12" s="70"/>
      <c r="AB12" s="70"/>
      <c r="AC12" s="70"/>
      <c r="AD12" s="70"/>
      <c r="AE12" s="70"/>
      <c r="AF12" s="70"/>
      <c r="AG12" s="70"/>
      <c r="AH12" s="70"/>
      <c r="AI12" s="70"/>
      <c r="AJ12" s="70"/>
      <c r="AK12" s="70"/>
      <c r="AL12" s="70"/>
      <c r="AM12" s="70"/>
      <c r="AN12" s="70"/>
      <c r="AO12" s="70"/>
      <c r="AP12" s="70"/>
      <c r="AQ12" s="70"/>
      <c r="AR12" s="70"/>
      <c r="AS12" s="70"/>
      <c r="AT12" s="70"/>
      <c r="AU12" s="70"/>
      <c r="AV12" s="70"/>
      <c r="AW12" s="70"/>
      <c r="AX12" s="70"/>
      <c r="AY12" s="70"/>
      <c r="AZ12" s="70"/>
      <c r="BA12" s="70"/>
      <c r="BB12" s="70"/>
      <c r="BC12" s="70"/>
      <c r="BD12" s="70"/>
      <c r="BE12" s="70"/>
      <c r="BF12" s="70"/>
      <c r="BG12" s="70"/>
    </row>
    <row r="13" spans="1:59" x14ac:dyDescent="0.35">
      <c r="A13" s="70"/>
      <c r="B13" s="209" t="s">
        <v>749</v>
      </c>
      <c r="C13" s="70"/>
      <c r="D13" s="70"/>
      <c r="E13" s="70"/>
      <c r="F13" s="70"/>
      <c r="G13" s="70"/>
      <c r="H13" s="70"/>
      <c r="I13" s="70"/>
      <c r="J13" s="70"/>
      <c r="K13" s="70"/>
      <c r="L13" s="70"/>
      <c r="M13" s="70"/>
      <c r="N13" s="70"/>
      <c r="O13" s="70"/>
      <c r="P13" s="70"/>
      <c r="Q13" s="209" t="s">
        <v>749</v>
      </c>
      <c r="R13" s="215"/>
      <c r="S13" s="216"/>
      <c r="T13" s="70"/>
      <c r="U13" s="70"/>
      <c r="V13" s="70"/>
      <c r="W13" s="70"/>
      <c r="X13" s="209" t="s">
        <v>749</v>
      </c>
      <c r="Y13" s="215"/>
      <c r="Z13" s="216"/>
      <c r="AA13" s="70"/>
      <c r="AB13" s="70"/>
      <c r="AC13" s="70"/>
      <c r="AD13" s="70"/>
      <c r="AE13" s="70"/>
      <c r="AF13" s="70"/>
      <c r="AG13" s="70"/>
      <c r="AH13" s="70"/>
      <c r="AI13" s="70"/>
      <c r="AJ13" s="70"/>
      <c r="AK13" s="70"/>
      <c r="AL13" s="70"/>
      <c r="AM13" s="209" t="s">
        <v>749</v>
      </c>
      <c r="AN13" s="215"/>
      <c r="AO13" s="216"/>
      <c r="AP13" s="70"/>
      <c r="AQ13" s="70"/>
      <c r="AR13" s="70"/>
      <c r="AS13" s="70"/>
      <c r="AT13" s="70"/>
      <c r="AU13" s="70"/>
      <c r="AV13" s="70"/>
      <c r="AW13" s="70"/>
      <c r="AX13" s="70"/>
      <c r="AY13" s="70"/>
      <c r="AZ13" s="70"/>
      <c r="BA13" s="70"/>
      <c r="BB13" s="70"/>
      <c r="BC13" s="70"/>
      <c r="BD13" s="70"/>
      <c r="BE13" s="70"/>
      <c r="BF13" s="70"/>
      <c r="BG13" s="70"/>
    </row>
    <row r="14" spans="1:59" x14ac:dyDescent="0.35">
      <c r="A14" s="70"/>
      <c r="B14" s="70"/>
      <c r="C14" s="70"/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70"/>
      <c r="AN14" s="70"/>
      <c r="AO14" s="70"/>
      <c r="AP14" s="70"/>
      <c r="AQ14" s="70"/>
      <c r="AR14" s="70"/>
      <c r="AS14" s="70"/>
      <c r="AT14" s="70"/>
      <c r="AU14" s="70"/>
      <c r="AV14" s="70"/>
      <c r="AW14" s="70"/>
      <c r="AX14" s="70"/>
      <c r="AY14" s="70"/>
      <c r="AZ14" s="70"/>
      <c r="BA14" s="70"/>
      <c r="BB14" s="70"/>
      <c r="BC14" s="70"/>
      <c r="BD14" s="70"/>
      <c r="BE14" s="70"/>
      <c r="BF14" s="70"/>
      <c r="BG14" s="70"/>
    </row>
    <row r="15" spans="1:59" x14ac:dyDescent="0.35">
      <c r="E15" s="70"/>
      <c r="F15" s="70"/>
      <c r="G15" s="70"/>
      <c r="H15" s="70"/>
      <c r="I15" s="70"/>
      <c r="J15" s="70"/>
      <c r="K15" s="70"/>
      <c r="L15" s="70"/>
      <c r="M15" s="70"/>
      <c r="N15" s="70"/>
      <c r="O15" s="70"/>
      <c r="T15" s="70"/>
      <c r="U15" s="70"/>
      <c r="V15" s="70"/>
      <c r="W15" s="70"/>
      <c r="X15" s="70"/>
      <c r="Y15" s="70"/>
      <c r="Z15" s="70"/>
      <c r="AA15" s="70"/>
      <c r="AB15" s="70"/>
      <c r="AC15" s="70"/>
      <c r="AD15" s="70"/>
      <c r="AE15" s="70"/>
      <c r="AF15" s="70"/>
      <c r="AG15" s="70"/>
      <c r="AH15" s="70"/>
      <c r="AI15" s="70"/>
      <c r="AJ15" s="70"/>
      <c r="AK15" s="70"/>
      <c r="AL15" s="70"/>
      <c r="AM15" s="70"/>
      <c r="AN15" s="70"/>
      <c r="AO15" s="70"/>
      <c r="AP15" s="70"/>
      <c r="AQ15" s="70"/>
      <c r="AR15" s="70"/>
      <c r="AS15" s="70"/>
      <c r="AT15" s="70"/>
      <c r="AU15" s="70"/>
      <c r="AV15" s="70"/>
      <c r="AW15" s="70"/>
      <c r="AX15" s="70"/>
      <c r="AY15" s="70"/>
      <c r="AZ15" s="70"/>
      <c r="BA15" s="70"/>
      <c r="BB15" s="70"/>
      <c r="BC15" s="70"/>
      <c r="BD15" s="70"/>
      <c r="BE15" s="70"/>
      <c r="BF15" s="70"/>
      <c r="BG15" s="70"/>
    </row>
    <row r="16" spans="1:59" x14ac:dyDescent="0.35">
      <c r="E16" s="70"/>
      <c r="F16" s="70"/>
      <c r="G16" s="70"/>
      <c r="H16" s="70"/>
      <c r="I16" s="70"/>
      <c r="J16" s="70"/>
      <c r="K16" s="70"/>
      <c r="L16" s="70"/>
      <c r="M16" s="70"/>
      <c r="N16" s="70"/>
      <c r="O16" s="70"/>
      <c r="P16" s="70"/>
      <c r="Q16" s="70"/>
      <c r="R16" s="70"/>
      <c r="S16" s="70"/>
      <c r="T16" s="70"/>
      <c r="U16" s="70"/>
      <c r="V16" s="70"/>
      <c r="X16" s="70"/>
      <c r="Y16" s="70"/>
      <c r="Z16" s="70"/>
      <c r="AB16" s="70"/>
      <c r="AC16" s="70"/>
      <c r="AD16" s="70"/>
      <c r="AE16" s="70"/>
      <c r="AF16" s="70"/>
      <c r="AG16" s="70"/>
      <c r="AH16" s="70"/>
      <c r="AI16" s="70"/>
      <c r="AJ16" s="70"/>
      <c r="AK16" s="70"/>
      <c r="AP16" s="70"/>
      <c r="AQ16" s="70"/>
      <c r="AR16" s="70"/>
      <c r="AS16" s="70"/>
      <c r="AT16" s="70"/>
      <c r="AU16" s="70"/>
      <c r="AV16" s="70"/>
      <c r="AW16" s="70"/>
      <c r="AX16" s="70"/>
      <c r="AY16" s="70"/>
      <c r="AZ16" s="70"/>
      <c r="BA16" s="70"/>
      <c r="BB16" s="70"/>
      <c r="BC16" s="70"/>
      <c r="BD16" s="70"/>
      <c r="BE16" s="70"/>
      <c r="BF16" s="70"/>
      <c r="BG16" s="70"/>
    </row>
    <row r="17" spans="1:59" x14ac:dyDescent="0.35">
      <c r="A17" s="95" t="s">
        <v>750</v>
      </c>
      <c r="B17" s="70"/>
      <c r="C17" s="70"/>
      <c r="D17" s="70"/>
      <c r="E17" s="70"/>
      <c r="F17" s="70"/>
      <c r="G17" s="70"/>
      <c r="H17" s="70"/>
      <c r="I17" s="70"/>
      <c r="J17" s="70"/>
      <c r="K17" s="70"/>
      <c r="L17" s="70"/>
      <c r="M17" s="70"/>
      <c r="N17" s="70"/>
      <c r="O17" s="164"/>
      <c r="P17" s="95"/>
      <c r="Q17" s="164"/>
      <c r="R17" s="164"/>
      <c r="S17" s="164"/>
      <c r="T17" s="70"/>
      <c r="U17" s="70"/>
      <c r="V17" s="70"/>
      <c r="W17" s="95" t="s">
        <v>751</v>
      </c>
      <c r="X17" s="70"/>
      <c r="Y17" s="70"/>
      <c r="Z17" s="70"/>
      <c r="AA17" s="70"/>
      <c r="AB17" s="70"/>
      <c r="AC17" s="70"/>
      <c r="AD17" s="70"/>
      <c r="AE17" s="70"/>
      <c r="AF17" s="70"/>
      <c r="AG17" s="70"/>
      <c r="AH17" s="70"/>
      <c r="AI17" s="70"/>
      <c r="AJ17" s="70"/>
      <c r="AK17" s="70"/>
      <c r="AL17" s="95"/>
      <c r="AM17" s="164"/>
      <c r="AN17" s="164"/>
      <c r="AO17" s="164"/>
      <c r="AP17" s="164"/>
      <c r="AQ17" s="70"/>
      <c r="AR17" s="70"/>
      <c r="AS17" s="70"/>
      <c r="AT17" s="70"/>
      <c r="AU17" s="70"/>
      <c r="AV17" s="70"/>
      <c r="AW17" s="70"/>
      <c r="AX17" s="70"/>
      <c r="AY17" s="70"/>
      <c r="AZ17" s="70"/>
      <c r="BA17" s="70"/>
      <c r="BB17" s="70"/>
      <c r="BC17" s="70"/>
      <c r="BD17" s="70"/>
      <c r="BE17" s="70"/>
      <c r="BF17" s="70"/>
      <c r="BG17" s="70"/>
    </row>
    <row r="18" spans="1:59" x14ac:dyDescent="0.35">
      <c r="A18" s="95"/>
      <c r="B18" s="70"/>
      <c r="C18" s="70"/>
      <c r="D18" s="70"/>
      <c r="E18" s="70"/>
      <c r="F18" s="70"/>
      <c r="G18" s="70"/>
      <c r="H18" s="70"/>
      <c r="I18" s="70"/>
      <c r="J18" s="70"/>
      <c r="K18" s="70"/>
      <c r="L18" s="70"/>
      <c r="M18" s="70"/>
      <c r="N18" s="70"/>
      <c r="O18" s="164"/>
      <c r="P18" s="164"/>
      <c r="Q18" s="164"/>
      <c r="R18" s="164"/>
      <c r="S18" s="164"/>
      <c r="T18" s="70"/>
      <c r="U18" s="70"/>
      <c r="V18" s="70"/>
      <c r="W18" s="95"/>
      <c r="X18" s="70"/>
      <c r="Y18" s="70"/>
      <c r="Z18" s="70"/>
      <c r="AA18" s="70"/>
      <c r="AB18" s="70"/>
      <c r="AC18" s="70"/>
      <c r="AE18" s="70"/>
      <c r="AF18" s="70"/>
      <c r="AG18" s="70"/>
      <c r="AH18" s="70"/>
      <c r="AI18" s="70"/>
      <c r="AJ18" s="70"/>
      <c r="AK18" s="70"/>
      <c r="AM18" s="164"/>
      <c r="AN18" s="164"/>
      <c r="AO18" s="164"/>
      <c r="AP18" s="164"/>
      <c r="AQ18" s="70"/>
      <c r="AR18" s="70"/>
      <c r="AS18" s="70"/>
      <c r="AT18" s="70"/>
      <c r="AU18" s="70"/>
      <c r="AV18" s="70"/>
      <c r="AW18" s="70"/>
      <c r="AX18" s="70"/>
      <c r="AY18" s="70"/>
      <c r="AZ18" s="70"/>
      <c r="BA18" s="70"/>
      <c r="BB18" s="70"/>
      <c r="BC18" s="70"/>
      <c r="BD18" s="70"/>
      <c r="BE18" s="70"/>
      <c r="BF18" s="70"/>
      <c r="BG18" s="70"/>
    </row>
    <row r="19" spans="1:59" x14ac:dyDescent="0.35">
      <c r="A19" s="162"/>
      <c r="B19" s="162"/>
      <c r="C19" s="70"/>
      <c r="D19" s="70"/>
      <c r="E19" s="70"/>
      <c r="F19" s="70"/>
      <c r="G19" s="70"/>
      <c r="H19" s="70"/>
      <c r="I19" s="70"/>
      <c r="J19" s="70"/>
      <c r="K19" s="70"/>
      <c r="L19" s="70"/>
      <c r="M19" s="70"/>
      <c r="N19" s="70"/>
      <c r="O19" s="164"/>
      <c r="P19" s="164"/>
      <c r="Q19" s="164"/>
      <c r="R19" s="164"/>
      <c r="S19" s="164"/>
      <c r="T19" s="70"/>
      <c r="U19" s="70"/>
      <c r="V19" s="70"/>
      <c r="W19" s="162"/>
      <c r="X19" s="162"/>
      <c r="Y19" s="301"/>
      <c r="Z19" s="301"/>
      <c r="AA19" s="301"/>
      <c r="AB19" s="301"/>
      <c r="AC19" s="301"/>
      <c r="AD19" s="301"/>
      <c r="AE19" s="301"/>
      <c r="AF19" s="301"/>
      <c r="AG19" s="301"/>
      <c r="AH19" s="301"/>
      <c r="AI19" s="301"/>
      <c r="AJ19" s="70"/>
      <c r="AK19" s="70"/>
      <c r="AL19" s="164"/>
      <c r="AM19" s="164"/>
      <c r="AN19" s="164"/>
      <c r="AO19" s="164"/>
      <c r="AP19" s="164"/>
      <c r="AQ19" s="70"/>
      <c r="AR19" s="70"/>
      <c r="AS19" s="70"/>
      <c r="AT19" s="70"/>
      <c r="AU19" s="70"/>
      <c r="AV19" s="70"/>
      <c r="AW19" s="70"/>
      <c r="AX19" s="70"/>
      <c r="AY19" s="70"/>
      <c r="AZ19" s="70"/>
      <c r="BA19" s="70"/>
      <c r="BB19" s="70"/>
      <c r="BC19" s="70"/>
      <c r="BD19" s="70"/>
      <c r="BE19" s="70"/>
      <c r="BF19" s="70"/>
      <c r="BG19" s="70"/>
    </row>
    <row r="20" spans="1:59" ht="43.5" x14ac:dyDescent="0.35">
      <c r="A20" s="162"/>
      <c r="B20" s="162"/>
      <c r="C20" s="223">
        <v>0</v>
      </c>
      <c r="D20" s="223">
        <v>1</v>
      </c>
      <c r="E20" s="223">
        <v>2</v>
      </c>
      <c r="F20" s="223">
        <v>3</v>
      </c>
      <c r="G20" s="223">
        <v>4</v>
      </c>
      <c r="H20" s="223">
        <v>5</v>
      </c>
      <c r="I20" s="223">
        <v>6</v>
      </c>
      <c r="J20" s="223">
        <v>7</v>
      </c>
      <c r="K20" s="223">
        <v>8</v>
      </c>
      <c r="L20" s="223">
        <v>9</v>
      </c>
      <c r="M20" s="223" t="s">
        <v>752</v>
      </c>
      <c r="N20" s="70"/>
      <c r="O20" s="162"/>
      <c r="P20" s="162"/>
      <c r="Q20" s="162"/>
      <c r="R20" s="224" t="s">
        <v>753</v>
      </c>
      <c r="S20" s="224" t="s">
        <v>754</v>
      </c>
      <c r="T20" s="70"/>
      <c r="U20" s="70"/>
      <c r="V20" s="70"/>
      <c r="W20" s="162"/>
      <c r="X20" s="162"/>
      <c r="Y20" s="223">
        <v>0</v>
      </c>
      <c r="Z20" s="223">
        <v>1</v>
      </c>
      <c r="AA20" s="223">
        <v>2</v>
      </c>
      <c r="AB20" s="223">
        <v>3</v>
      </c>
      <c r="AC20" s="223">
        <v>4</v>
      </c>
      <c r="AD20" s="223">
        <v>5</v>
      </c>
      <c r="AE20" s="223">
        <v>6</v>
      </c>
      <c r="AF20" s="223">
        <v>7</v>
      </c>
      <c r="AG20" s="223">
        <v>8</v>
      </c>
      <c r="AH20" s="223">
        <v>9</v>
      </c>
      <c r="AI20" s="223" t="s">
        <v>752</v>
      </c>
      <c r="AJ20" s="96"/>
      <c r="AK20" s="96"/>
      <c r="AL20" s="70"/>
      <c r="AM20" s="70"/>
      <c r="AN20" s="224" t="s">
        <v>755</v>
      </c>
      <c r="AO20" s="164"/>
      <c r="AP20" s="164"/>
      <c r="AQ20" s="70"/>
      <c r="AR20" s="70"/>
      <c r="AS20" s="70"/>
      <c r="AT20" s="70"/>
      <c r="AU20" s="70"/>
      <c r="AV20" s="70"/>
      <c r="AW20" s="70"/>
      <c r="AX20" s="70"/>
      <c r="AY20" s="70"/>
      <c r="AZ20" s="70"/>
      <c r="BA20" s="70"/>
      <c r="BB20" s="70"/>
      <c r="BC20" s="70"/>
      <c r="BD20" s="70"/>
      <c r="BE20" s="70"/>
      <c r="BF20" s="70"/>
      <c r="BG20" s="70"/>
    </row>
    <row r="21" spans="1:59" x14ac:dyDescent="0.35">
      <c r="A21" s="162"/>
      <c r="B21" s="162"/>
      <c r="C21" s="251" t="s">
        <v>4</v>
      </c>
      <c r="D21" s="166" t="s">
        <v>183</v>
      </c>
      <c r="E21" s="251" t="s">
        <v>184</v>
      </c>
      <c r="F21" s="166" t="s">
        <v>185</v>
      </c>
      <c r="G21" s="251" t="s">
        <v>186</v>
      </c>
      <c r="H21" s="166" t="s">
        <v>187</v>
      </c>
      <c r="I21" s="251" t="s">
        <v>188</v>
      </c>
      <c r="J21" s="166" t="s">
        <v>189</v>
      </c>
      <c r="K21" s="251" t="s">
        <v>190</v>
      </c>
      <c r="L21" s="166" t="s">
        <v>191</v>
      </c>
      <c r="M21" s="251" t="s">
        <v>192</v>
      </c>
      <c r="N21" s="70"/>
      <c r="O21" s="162"/>
      <c r="P21" s="162"/>
      <c r="Q21" s="162"/>
      <c r="R21" s="146" t="s">
        <v>284</v>
      </c>
      <c r="S21" s="146" t="s">
        <v>285</v>
      </c>
      <c r="T21" s="70"/>
      <c r="U21" s="70"/>
      <c r="V21" s="70"/>
      <c r="W21" s="162"/>
      <c r="X21" s="162"/>
      <c r="Y21" s="251" t="s">
        <v>198</v>
      </c>
      <c r="Z21" s="251" t="s">
        <v>227</v>
      </c>
      <c r="AA21" s="251" t="s">
        <v>228</v>
      </c>
      <c r="AB21" s="251" t="s">
        <v>229</v>
      </c>
      <c r="AC21" s="251" t="s">
        <v>230</v>
      </c>
      <c r="AD21" s="251" t="s">
        <v>231</v>
      </c>
      <c r="AE21" s="251" t="s">
        <v>232</v>
      </c>
      <c r="AF21" s="251" t="s">
        <v>233</v>
      </c>
      <c r="AG21" s="251" t="s">
        <v>234</v>
      </c>
      <c r="AH21" s="251" t="s">
        <v>756</v>
      </c>
      <c r="AI21" s="251" t="s">
        <v>235</v>
      </c>
      <c r="AJ21" s="96"/>
      <c r="AK21" s="96"/>
      <c r="AL21" s="70"/>
      <c r="AM21" s="70"/>
      <c r="AN21" s="146" t="s">
        <v>757</v>
      </c>
      <c r="AO21" s="164"/>
      <c r="AP21" s="164"/>
      <c r="AQ21" s="70"/>
      <c r="AR21" s="70"/>
      <c r="AS21" s="70"/>
      <c r="AT21" s="70"/>
      <c r="AU21" s="70"/>
      <c r="AV21" s="70"/>
      <c r="AW21" s="70"/>
      <c r="AX21" s="70"/>
      <c r="AY21" s="70"/>
      <c r="AZ21" s="70"/>
      <c r="BA21" s="70"/>
      <c r="BB21" s="70"/>
      <c r="BC21" s="70"/>
      <c r="BD21" s="70"/>
      <c r="BE21" s="70"/>
      <c r="BF21" s="70"/>
      <c r="BG21" s="70"/>
    </row>
    <row r="22" spans="1:59" x14ac:dyDescent="0.35">
      <c r="A22" s="208" t="s">
        <v>758</v>
      </c>
      <c r="B22" s="168" t="s">
        <v>25</v>
      </c>
      <c r="C22" s="69" t="s">
        <v>287</v>
      </c>
      <c r="D22" s="69" t="s">
        <v>287</v>
      </c>
      <c r="E22" s="69" t="s">
        <v>287</v>
      </c>
      <c r="F22" s="69" t="s">
        <v>287</v>
      </c>
      <c r="G22" s="69" t="s">
        <v>287</v>
      </c>
      <c r="H22" s="69" t="s">
        <v>287</v>
      </c>
      <c r="I22" s="69" t="s">
        <v>287</v>
      </c>
      <c r="J22" s="69" t="s">
        <v>287</v>
      </c>
      <c r="K22" s="69" t="s">
        <v>287</v>
      </c>
      <c r="L22" s="69" t="s">
        <v>287</v>
      </c>
      <c r="M22" s="169">
        <v>373653.70186000003</v>
      </c>
      <c r="N22" s="70"/>
      <c r="O22" s="70"/>
      <c r="P22" s="208" t="s">
        <v>758</v>
      </c>
      <c r="Q22" s="168" t="s">
        <v>25</v>
      </c>
      <c r="R22" s="252">
        <v>373653.70186000003</v>
      </c>
      <c r="S22" s="252">
        <v>373653.70186000003</v>
      </c>
      <c r="T22" s="70"/>
      <c r="U22" s="70"/>
      <c r="V22" s="70"/>
      <c r="W22" s="208" t="s">
        <v>758</v>
      </c>
      <c r="X22" s="168" t="s">
        <v>25</v>
      </c>
      <c r="Y22" s="69" t="s">
        <v>287</v>
      </c>
      <c r="Z22" s="69" t="s">
        <v>287</v>
      </c>
      <c r="AA22" s="69" t="s">
        <v>287</v>
      </c>
      <c r="AB22" s="69" t="s">
        <v>287</v>
      </c>
      <c r="AC22" s="69" t="s">
        <v>287</v>
      </c>
      <c r="AD22" s="69" t="s">
        <v>287</v>
      </c>
      <c r="AE22" s="69" t="s">
        <v>287</v>
      </c>
      <c r="AF22" s="69" t="s">
        <v>287</v>
      </c>
      <c r="AG22" s="69" t="s">
        <v>287</v>
      </c>
      <c r="AH22" s="69" t="s">
        <v>287</v>
      </c>
      <c r="AI22" s="169">
        <v>11043917.868073624</v>
      </c>
      <c r="AJ22" s="70"/>
      <c r="AK22" s="70"/>
      <c r="AL22" s="208" t="s">
        <v>758</v>
      </c>
      <c r="AM22" s="168" t="s">
        <v>25</v>
      </c>
      <c r="AN22" s="252">
        <v>9854277.843437897</v>
      </c>
      <c r="AO22" s="70"/>
      <c r="AP22" s="226"/>
      <c r="AQ22" s="70"/>
      <c r="AR22" s="70"/>
      <c r="AS22" s="70"/>
      <c r="AT22" s="70"/>
      <c r="AU22" s="70"/>
      <c r="AV22" s="70"/>
      <c r="AW22" s="70"/>
      <c r="AX22" s="70"/>
      <c r="AY22" s="70"/>
      <c r="AZ22" s="70"/>
      <c r="BA22" s="70"/>
      <c r="BB22" s="70"/>
      <c r="BC22" s="70"/>
      <c r="BD22" s="70"/>
      <c r="BE22" s="70"/>
      <c r="BF22" s="70"/>
      <c r="BG22" s="70"/>
    </row>
    <row r="23" spans="1:59" x14ac:dyDescent="0.35">
      <c r="A23" s="208">
        <v>2010</v>
      </c>
      <c r="B23" s="168" t="s">
        <v>37</v>
      </c>
      <c r="C23" s="169">
        <v>14382062.891131083</v>
      </c>
      <c r="D23" s="169">
        <v>6487950.5357189896</v>
      </c>
      <c r="E23" s="169">
        <v>1339733.5823962861</v>
      </c>
      <c r="F23" s="169">
        <v>543427.9176495485</v>
      </c>
      <c r="G23" s="169">
        <v>698713.19255996484</v>
      </c>
      <c r="H23" s="169">
        <v>280079.25485961267</v>
      </c>
      <c r="I23" s="169">
        <v>200031.87812836128</v>
      </c>
      <c r="J23" s="169">
        <v>125167.81917</v>
      </c>
      <c r="K23" s="169">
        <v>134797.83021000001</v>
      </c>
      <c r="L23" s="169">
        <v>95406.685930000007</v>
      </c>
      <c r="M23" s="69" t="s">
        <v>287</v>
      </c>
      <c r="N23" s="70"/>
      <c r="O23" s="70"/>
      <c r="P23" s="208">
        <v>2010</v>
      </c>
      <c r="Q23" s="168" t="s">
        <v>37</v>
      </c>
      <c r="R23" s="252">
        <v>95406.685930000007</v>
      </c>
      <c r="S23" s="252">
        <v>24287371.587753844</v>
      </c>
      <c r="T23" s="70"/>
      <c r="U23" s="70"/>
      <c r="V23" s="70"/>
      <c r="W23" s="208">
        <v>2010</v>
      </c>
      <c r="X23" s="168" t="s">
        <v>37</v>
      </c>
      <c r="Y23" s="169" t="s">
        <v>287</v>
      </c>
      <c r="Z23" s="169" t="s">
        <v>287</v>
      </c>
      <c r="AA23" s="169" t="s">
        <v>287</v>
      </c>
      <c r="AB23" s="169" t="s">
        <v>287</v>
      </c>
      <c r="AC23" s="169" t="s">
        <v>287</v>
      </c>
      <c r="AD23" s="169">
        <v>2044081.9389100587</v>
      </c>
      <c r="AE23" s="169">
        <v>1751854.6241578986</v>
      </c>
      <c r="AF23" s="169">
        <v>1472725.3330340968</v>
      </c>
      <c r="AG23" s="169">
        <v>1224870.4053851338</v>
      </c>
      <c r="AH23" s="169">
        <v>952988.24532251956</v>
      </c>
      <c r="AI23" s="69" t="s">
        <v>287</v>
      </c>
      <c r="AJ23" s="70"/>
      <c r="AK23" s="70"/>
      <c r="AL23" s="208">
        <v>2010</v>
      </c>
      <c r="AM23" s="168" t="s">
        <v>37</v>
      </c>
      <c r="AN23" s="252">
        <v>879613.77075414301</v>
      </c>
      <c r="AO23" s="70"/>
      <c r="AP23" s="226"/>
      <c r="AQ23" s="70"/>
      <c r="AR23" s="70"/>
      <c r="AS23" s="70"/>
      <c r="AT23" s="70"/>
      <c r="AU23" s="70"/>
      <c r="AV23" s="70"/>
      <c r="AW23" s="70"/>
      <c r="AX23" s="70"/>
      <c r="AY23" s="70"/>
      <c r="AZ23" s="70"/>
      <c r="BA23" s="70"/>
      <c r="BB23" s="70"/>
      <c r="BC23" s="70"/>
      <c r="BD23" s="70"/>
      <c r="BE23" s="70"/>
      <c r="BF23" s="70"/>
      <c r="BG23" s="70"/>
    </row>
    <row r="24" spans="1:59" x14ac:dyDescent="0.35">
      <c r="A24" s="208">
        <v>2011</v>
      </c>
      <c r="B24" s="168" t="s">
        <v>39</v>
      </c>
      <c r="C24" s="169">
        <v>14830926.263074769</v>
      </c>
      <c r="D24" s="169">
        <v>7522639.1371335369</v>
      </c>
      <c r="E24" s="169">
        <v>1553827.299038541</v>
      </c>
      <c r="F24" s="169">
        <v>671309.16775459866</v>
      </c>
      <c r="G24" s="169">
        <v>383794.4290423062</v>
      </c>
      <c r="H24" s="169">
        <v>297888.61109699908</v>
      </c>
      <c r="I24" s="169">
        <v>204924.44058000002</v>
      </c>
      <c r="J24" s="169">
        <v>156394.69219999999</v>
      </c>
      <c r="K24" s="169">
        <v>251100.75326</v>
      </c>
      <c r="L24" s="69" t="s">
        <v>287</v>
      </c>
      <c r="M24" s="69" t="s">
        <v>287</v>
      </c>
      <c r="N24" s="70"/>
      <c r="O24" s="70"/>
      <c r="P24" s="208">
        <v>2011</v>
      </c>
      <c r="Q24" s="168" t="s">
        <v>39</v>
      </c>
      <c r="R24" s="252">
        <v>251100.75326</v>
      </c>
      <c r="S24" s="252">
        <v>25872804.793180753</v>
      </c>
      <c r="T24" s="70"/>
      <c r="U24" s="70"/>
      <c r="V24" s="70"/>
      <c r="W24" s="208">
        <v>2011</v>
      </c>
      <c r="X24" s="168" t="s">
        <v>39</v>
      </c>
      <c r="Y24" s="169" t="s">
        <v>287</v>
      </c>
      <c r="Z24" s="169" t="s">
        <v>287</v>
      </c>
      <c r="AA24" s="169" t="s">
        <v>287</v>
      </c>
      <c r="AB24" s="169" t="s">
        <v>287</v>
      </c>
      <c r="AC24" s="169">
        <v>2532542.8197687538</v>
      </c>
      <c r="AD24" s="169">
        <v>2081046.9741452155</v>
      </c>
      <c r="AE24" s="169">
        <v>1602038.3932941775</v>
      </c>
      <c r="AF24" s="169">
        <v>1399991.6726747148</v>
      </c>
      <c r="AG24" s="169">
        <v>1136882.3253635846</v>
      </c>
      <c r="AH24" s="69" t="s">
        <v>287</v>
      </c>
      <c r="AI24" s="69" t="s">
        <v>287</v>
      </c>
      <c r="AJ24" s="70"/>
      <c r="AK24" s="70"/>
      <c r="AL24" s="208">
        <v>2011</v>
      </c>
      <c r="AM24" s="168" t="s">
        <v>39</v>
      </c>
      <c r="AN24" s="252">
        <v>1049704.9246335849</v>
      </c>
      <c r="AO24" s="70"/>
      <c r="AP24" s="226"/>
      <c r="AQ24" s="70"/>
      <c r="AR24" s="70"/>
      <c r="AS24" s="70"/>
      <c r="AT24" s="70"/>
      <c r="AU24" s="70"/>
      <c r="AV24" s="70"/>
      <c r="AW24" s="70"/>
      <c r="AX24" s="70"/>
      <c r="AY24" s="70"/>
      <c r="AZ24" s="70"/>
      <c r="BA24" s="70"/>
      <c r="BB24" s="70"/>
      <c r="BC24" s="70"/>
      <c r="BD24" s="70"/>
      <c r="BE24" s="70"/>
      <c r="BF24" s="70"/>
      <c r="BG24" s="70"/>
    </row>
    <row r="25" spans="1:59" x14ac:dyDescent="0.35">
      <c r="A25" s="208">
        <v>2012</v>
      </c>
      <c r="B25" s="168" t="s">
        <v>41</v>
      </c>
      <c r="C25" s="169">
        <v>14474653.507926773</v>
      </c>
      <c r="D25" s="169">
        <v>7033205.1504855836</v>
      </c>
      <c r="E25" s="169">
        <v>1634993.3053617473</v>
      </c>
      <c r="F25" s="169">
        <v>545931.26812454779</v>
      </c>
      <c r="G25" s="169">
        <v>413564.19016585464</v>
      </c>
      <c r="H25" s="169">
        <v>271824.21192999999</v>
      </c>
      <c r="I25" s="169">
        <v>171518.24608000001</v>
      </c>
      <c r="J25" s="169">
        <v>115951.72859999999</v>
      </c>
      <c r="K25" s="69" t="s">
        <v>287</v>
      </c>
      <c r="L25" s="69" t="s">
        <v>287</v>
      </c>
      <c r="M25" s="69" t="s">
        <v>287</v>
      </c>
      <c r="N25" s="70"/>
      <c r="O25" s="70"/>
      <c r="P25" s="208">
        <v>2012</v>
      </c>
      <c r="Q25" s="168" t="s">
        <v>41</v>
      </c>
      <c r="R25" s="252">
        <v>115951.72859999999</v>
      </c>
      <c r="S25" s="252">
        <v>24661641.608674508</v>
      </c>
      <c r="T25" s="70"/>
      <c r="U25" s="70"/>
      <c r="V25" s="70"/>
      <c r="W25" s="208">
        <v>2012</v>
      </c>
      <c r="X25" s="168" t="s">
        <v>41</v>
      </c>
      <c r="Y25" s="169" t="s">
        <v>287</v>
      </c>
      <c r="Z25" s="169" t="s">
        <v>287</v>
      </c>
      <c r="AA25" s="169" t="s">
        <v>287</v>
      </c>
      <c r="AB25" s="169">
        <v>3066572.9716441194</v>
      </c>
      <c r="AC25" s="169">
        <v>2457849.7692675125</v>
      </c>
      <c r="AD25" s="169">
        <v>1730677.972270671</v>
      </c>
      <c r="AE25" s="169">
        <v>1367238.0964193577</v>
      </c>
      <c r="AF25" s="169">
        <v>1054575.6158605565</v>
      </c>
      <c r="AG25" s="69" t="s">
        <v>287</v>
      </c>
      <c r="AH25" s="69" t="s">
        <v>287</v>
      </c>
      <c r="AI25" s="69" t="s">
        <v>287</v>
      </c>
      <c r="AJ25" s="70"/>
      <c r="AK25" s="70"/>
      <c r="AL25" s="208">
        <v>2012</v>
      </c>
      <c r="AM25" s="168" t="s">
        <v>41</v>
      </c>
      <c r="AN25" s="252">
        <v>962747.73962498503</v>
      </c>
      <c r="AO25" s="70"/>
      <c r="AP25" s="226"/>
      <c r="AQ25" s="70"/>
      <c r="AR25" s="70"/>
      <c r="AS25" s="70"/>
      <c r="AT25" s="70"/>
      <c r="AU25" s="70"/>
      <c r="AV25" s="70"/>
      <c r="AW25" s="70"/>
      <c r="AX25" s="70"/>
      <c r="AY25" s="70"/>
      <c r="AZ25" s="70"/>
      <c r="BA25" s="70"/>
      <c r="BB25" s="70"/>
      <c r="BC25" s="70"/>
      <c r="BD25" s="70"/>
      <c r="BE25" s="70"/>
      <c r="BF25" s="70"/>
      <c r="BG25" s="70"/>
    </row>
    <row r="26" spans="1:59" x14ac:dyDescent="0.35">
      <c r="A26" s="208">
        <v>2013</v>
      </c>
      <c r="B26" s="168" t="s">
        <v>43</v>
      </c>
      <c r="C26" s="169">
        <v>14421745.443796381</v>
      </c>
      <c r="D26" s="169">
        <v>6441371.1660808241</v>
      </c>
      <c r="E26" s="169">
        <v>1284521.5815411939</v>
      </c>
      <c r="F26" s="169">
        <v>766897.57524937391</v>
      </c>
      <c r="G26" s="169">
        <v>457536.97113999998</v>
      </c>
      <c r="H26" s="169">
        <v>366394.81806999998</v>
      </c>
      <c r="I26" s="169">
        <v>210043.47299000001</v>
      </c>
      <c r="J26" s="69" t="s">
        <v>287</v>
      </c>
      <c r="K26" s="69" t="s">
        <v>287</v>
      </c>
      <c r="L26" s="69" t="s">
        <v>287</v>
      </c>
      <c r="M26" s="69" t="s">
        <v>287</v>
      </c>
      <c r="N26" s="70"/>
      <c r="O26" s="70"/>
      <c r="P26" s="208">
        <v>2013</v>
      </c>
      <c r="Q26" s="168" t="s">
        <v>43</v>
      </c>
      <c r="R26" s="252">
        <v>210043.47299000001</v>
      </c>
      <c r="S26" s="252">
        <v>23948511.028867774</v>
      </c>
      <c r="T26" s="70"/>
      <c r="U26" s="70"/>
      <c r="V26" s="70"/>
      <c r="W26" s="208">
        <v>2013</v>
      </c>
      <c r="X26" s="168" t="s">
        <v>43</v>
      </c>
      <c r="Y26" s="169" t="s">
        <v>287</v>
      </c>
      <c r="Z26" s="169" t="s">
        <v>287</v>
      </c>
      <c r="AA26" s="169">
        <v>3522767.4887881656</v>
      </c>
      <c r="AB26" s="169">
        <v>2855481.1262494056</v>
      </c>
      <c r="AC26" s="169">
        <v>2367632.2607404264</v>
      </c>
      <c r="AD26" s="169">
        <v>1833681.818948698</v>
      </c>
      <c r="AE26" s="169">
        <v>1524656.7525570514</v>
      </c>
      <c r="AF26" s="69" t="s">
        <v>287</v>
      </c>
      <c r="AG26" s="69" t="s">
        <v>287</v>
      </c>
      <c r="AH26" s="69" t="s">
        <v>287</v>
      </c>
      <c r="AI26" s="69" t="s">
        <v>287</v>
      </c>
      <c r="AJ26" s="70"/>
      <c r="AK26" s="70"/>
      <c r="AL26" s="208">
        <v>2013</v>
      </c>
      <c r="AM26" s="168" t="s">
        <v>43</v>
      </c>
      <c r="AN26" s="252">
        <v>1399392.6405528879</v>
      </c>
      <c r="AO26" s="70"/>
      <c r="AP26" s="226"/>
      <c r="AQ26" s="70"/>
      <c r="AR26" s="70"/>
      <c r="AS26" s="70"/>
      <c r="AT26" s="70"/>
      <c r="AU26" s="70"/>
      <c r="AV26" s="70"/>
      <c r="AW26" s="70"/>
      <c r="AX26" s="70"/>
      <c r="AY26" s="70"/>
      <c r="AZ26" s="70"/>
      <c r="BA26" s="70"/>
      <c r="BB26" s="70"/>
      <c r="BC26" s="70"/>
      <c r="BD26" s="70"/>
      <c r="BE26" s="70"/>
      <c r="BF26" s="70"/>
      <c r="BG26" s="70"/>
    </row>
    <row r="27" spans="1:59" x14ac:dyDescent="0.35">
      <c r="A27" s="208">
        <v>2014</v>
      </c>
      <c r="B27" s="168" t="s">
        <v>45</v>
      </c>
      <c r="C27" s="169">
        <v>14481433.987342423</v>
      </c>
      <c r="D27" s="169">
        <v>5948468.4237394389</v>
      </c>
      <c r="E27" s="169">
        <v>1248429.6596971089</v>
      </c>
      <c r="F27" s="169">
        <v>925694.16587000003</v>
      </c>
      <c r="G27" s="169">
        <v>453607.19243</v>
      </c>
      <c r="H27" s="169">
        <v>297128.24719000002</v>
      </c>
      <c r="I27" s="69" t="s">
        <v>287</v>
      </c>
      <c r="J27" s="69" t="s">
        <v>287</v>
      </c>
      <c r="K27" s="69" t="s">
        <v>287</v>
      </c>
      <c r="L27" s="69" t="s">
        <v>287</v>
      </c>
      <c r="M27" s="69" t="s">
        <v>287</v>
      </c>
      <c r="N27" s="70"/>
      <c r="O27" s="70"/>
      <c r="P27" s="208">
        <v>2014</v>
      </c>
      <c r="Q27" s="168" t="s">
        <v>45</v>
      </c>
      <c r="R27" s="252">
        <v>297128.24719000002</v>
      </c>
      <c r="S27" s="252">
        <v>23354761.676268969</v>
      </c>
      <c r="T27" s="70"/>
      <c r="U27" s="70"/>
      <c r="V27" s="70"/>
      <c r="W27" s="208">
        <v>2014</v>
      </c>
      <c r="X27" s="168" t="s">
        <v>45</v>
      </c>
      <c r="Y27" s="169" t="s">
        <v>287</v>
      </c>
      <c r="Z27" s="169">
        <v>5135403.1123744575</v>
      </c>
      <c r="AA27" s="169">
        <v>3957050.0571433739</v>
      </c>
      <c r="AB27" s="169">
        <v>2906630.6709964778</v>
      </c>
      <c r="AC27" s="169">
        <v>2443987.2292487244</v>
      </c>
      <c r="AD27" s="169">
        <v>1866392.0815901703</v>
      </c>
      <c r="AE27" s="69" t="s">
        <v>287</v>
      </c>
      <c r="AF27" s="69" t="s">
        <v>287</v>
      </c>
      <c r="AG27" s="69" t="s">
        <v>287</v>
      </c>
      <c r="AH27" s="69" t="s">
        <v>287</v>
      </c>
      <c r="AI27" s="69" t="s">
        <v>287</v>
      </c>
      <c r="AJ27" s="70"/>
      <c r="AK27" s="70"/>
      <c r="AL27" s="208">
        <v>2014</v>
      </c>
      <c r="AM27" s="168" t="s">
        <v>45</v>
      </c>
      <c r="AN27" s="252">
        <v>1720680.0683009492</v>
      </c>
      <c r="AO27" s="70"/>
      <c r="AP27" s="226"/>
      <c r="AQ27" s="70"/>
      <c r="AR27" s="70"/>
      <c r="AS27" s="70"/>
      <c r="AT27" s="70"/>
      <c r="AU27" s="70"/>
      <c r="AV27" s="70"/>
      <c r="AW27" s="70"/>
      <c r="AX27" s="70"/>
      <c r="AY27" s="70"/>
      <c r="AZ27" s="70"/>
      <c r="BA27" s="70"/>
      <c r="BB27" s="70"/>
      <c r="BC27" s="70"/>
      <c r="BD27" s="70"/>
      <c r="BE27" s="70"/>
      <c r="BF27" s="70"/>
      <c r="BG27" s="70"/>
    </row>
    <row r="28" spans="1:59" x14ac:dyDescent="0.35">
      <c r="A28" s="208">
        <v>2015</v>
      </c>
      <c r="B28" s="168" t="s">
        <v>47</v>
      </c>
      <c r="C28" s="169">
        <v>14486212.918279583</v>
      </c>
      <c r="D28" s="169">
        <v>6051431.1848755889</v>
      </c>
      <c r="E28" s="169">
        <v>1436470.39701</v>
      </c>
      <c r="F28" s="169">
        <v>661912.27014000004</v>
      </c>
      <c r="G28" s="169">
        <v>411033.51118000003</v>
      </c>
      <c r="H28" s="69" t="s">
        <v>287</v>
      </c>
      <c r="I28" s="69" t="s">
        <v>287</v>
      </c>
      <c r="J28" s="69" t="s">
        <v>287</v>
      </c>
      <c r="K28" s="69" t="s">
        <v>287</v>
      </c>
      <c r="L28" s="69" t="s">
        <v>287</v>
      </c>
      <c r="M28" s="69" t="s">
        <v>287</v>
      </c>
      <c r="N28" s="70"/>
      <c r="O28" s="70"/>
      <c r="P28" s="208">
        <v>2015</v>
      </c>
      <c r="Q28" s="168" t="s">
        <v>47</v>
      </c>
      <c r="R28" s="252">
        <v>411033.51118000003</v>
      </c>
      <c r="S28" s="252">
        <v>23047060.281485174</v>
      </c>
      <c r="T28" s="70"/>
      <c r="U28" s="70"/>
      <c r="V28" s="70"/>
      <c r="W28" s="208">
        <v>2015</v>
      </c>
      <c r="X28" s="168" t="s">
        <v>47</v>
      </c>
      <c r="Y28" s="169">
        <v>13739253.247788925</v>
      </c>
      <c r="Z28" s="169">
        <v>5467268.923187945</v>
      </c>
      <c r="AA28" s="169">
        <v>3669641.8426782303</v>
      </c>
      <c r="AB28" s="169">
        <v>2633862.4653492649</v>
      </c>
      <c r="AC28" s="169">
        <v>1904433.3420654745</v>
      </c>
      <c r="AD28" s="69" t="s">
        <v>287</v>
      </c>
      <c r="AE28" s="69" t="s">
        <v>287</v>
      </c>
      <c r="AF28" s="69" t="s">
        <v>287</v>
      </c>
      <c r="AG28" s="69" t="s">
        <v>287</v>
      </c>
      <c r="AH28" s="69" t="s">
        <v>287</v>
      </c>
      <c r="AI28" s="69" t="s">
        <v>287</v>
      </c>
      <c r="AJ28" s="70"/>
      <c r="AK28" s="70"/>
      <c r="AL28" s="208">
        <v>2015</v>
      </c>
      <c r="AM28" s="168" t="s">
        <v>47</v>
      </c>
      <c r="AN28" s="252">
        <v>1769298.438773548</v>
      </c>
      <c r="AO28" s="70"/>
      <c r="AP28" s="226"/>
      <c r="AQ28" s="70"/>
      <c r="AR28" s="70"/>
      <c r="AS28" s="70"/>
      <c r="AT28" s="70"/>
      <c r="AU28" s="70"/>
      <c r="AV28" s="70"/>
      <c r="AW28" s="70"/>
      <c r="AX28" s="70"/>
      <c r="AY28" s="70"/>
      <c r="AZ28" s="70"/>
      <c r="BA28" s="70"/>
      <c r="BB28" s="70"/>
      <c r="BC28" s="70"/>
      <c r="BD28" s="70"/>
      <c r="BE28" s="70"/>
      <c r="BF28" s="70"/>
      <c r="BG28" s="70"/>
    </row>
    <row r="29" spans="1:59" x14ac:dyDescent="0.35">
      <c r="A29" s="208">
        <v>2016</v>
      </c>
      <c r="B29" s="168" t="s">
        <v>49</v>
      </c>
      <c r="C29" s="169">
        <v>14948146.693186915</v>
      </c>
      <c r="D29" s="169">
        <v>6437069.3620699998</v>
      </c>
      <c r="E29" s="169">
        <v>1341877.06094</v>
      </c>
      <c r="F29" s="169">
        <v>705255.43166</v>
      </c>
      <c r="G29" s="69" t="s">
        <v>287</v>
      </c>
      <c r="H29" s="69" t="s">
        <v>287</v>
      </c>
      <c r="I29" s="69" t="s">
        <v>287</v>
      </c>
      <c r="J29" s="69" t="s">
        <v>287</v>
      </c>
      <c r="K29" s="69" t="s">
        <v>287</v>
      </c>
      <c r="L29" s="69" t="s">
        <v>287</v>
      </c>
      <c r="M29" s="69" t="s">
        <v>287</v>
      </c>
      <c r="N29" s="70"/>
      <c r="O29" s="70"/>
      <c r="P29" s="208">
        <v>2016</v>
      </c>
      <c r="Q29" s="168" t="s">
        <v>49</v>
      </c>
      <c r="R29" s="252">
        <v>705255.43166</v>
      </c>
      <c r="S29" s="252">
        <v>23432348.547856916</v>
      </c>
      <c r="T29" s="70"/>
      <c r="U29" s="70"/>
      <c r="V29" s="70"/>
      <c r="W29" s="208">
        <v>2016</v>
      </c>
      <c r="X29" s="168" t="s">
        <v>49</v>
      </c>
      <c r="Y29" s="169">
        <v>14101324.754085191</v>
      </c>
      <c r="Z29" s="169">
        <v>5311269.4945299709</v>
      </c>
      <c r="AA29" s="169">
        <v>3789345.4436569628</v>
      </c>
      <c r="AB29" s="169">
        <v>2573314.5313615296</v>
      </c>
      <c r="AC29" s="69" t="s">
        <v>287</v>
      </c>
      <c r="AD29" s="69" t="s">
        <v>287</v>
      </c>
      <c r="AE29" s="69" t="s">
        <v>287</v>
      </c>
      <c r="AF29" s="69" t="s">
        <v>287</v>
      </c>
      <c r="AG29" s="69" t="s">
        <v>287</v>
      </c>
      <c r="AH29" s="69" t="s">
        <v>287</v>
      </c>
      <c r="AI29" s="69" t="s">
        <v>287</v>
      </c>
      <c r="AJ29" s="70"/>
      <c r="AK29" s="70"/>
      <c r="AL29" s="208">
        <v>2016</v>
      </c>
      <c r="AM29" s="168" t="s">
        <v>49</v>
      </c>
      <c r="AN29" s="252">
        <v>2401115.2059459239</v>
      </c>
      <c r="AO29" s="70"/>
      <c r="AP29" s="226"/>
      <c r="AQ29" s="70"/>
      <c r="AR29" s="70"/>
      <c r="AS29" s="70"/>
      <c r="AT29" s="70"/>
      <c r="AU29" s="70"/>
      <c r="AV29" s="70"/>
      <c r="AW29" s="70"/>
      <c r="AX29" s="70"/>
      <c r="AY29" s="70"/>
      <c r="AZ29" s="70"/>
      <c r="BA29" s="70"/>
      <c r="BB29" s="70"/>
      <c r="BC29" s="70"/>
      <c r="BD29" s="70"/>
      <c r="BE29" s="70"/>
      <c r="BF29" s="70"/>
      <c r="BG29" s="70"/>
    </row>
    <row r="30" spans="1:59" x14ac:dyDescent="0.35">
      <c r="A30" s="208">
        <v>2017</v>
      </c>
      <c r="B30" s="168" t="s">
        <v>51</v>
      </c>
      <c r="C30" s="169">
        <v>15477477.94469</v>
      </c>
      <c r="D30" s="169">
        <v>6574683.1695699999</v>
      </c>
      <c r="E30" s="169">
        <v>1747643.7159800001</v>
      </c>
      <c r="F30" s="69" t="s">
        <v>287</v>
      </c>
      <c r="G30" s="69" t="s">
        <v>287</v>
      </c>
      <c r="H30" s="69" t="s">
        <v>287</v>
      </c>
      <c r="I30" s="69" t="s">
        <v>287</v>
      </c>
      <c r="J30" s="69" t="s">
        <v>287</v>
      </c>
      <c r="K30" s="69" t="s">
        <v>287</v>
      </c>
      <c r="L30" s="69" t="s">
        <v>287</v>
      </c>
      <c r="M30" s="69" t="s">
        <v>287</v>
      </c>
      <c r="N30" s="70"/>
      <c r="O30" s="70"/>
      <c r="P30" s="208">
        <v>2017</v>
      </c>
      <c r="Q30" s="168" t="s">
        <v>51</v>
      </c>
      <c r="R30" s="252">
        <v>1747643.7159800001</v>
      </c>
      <c r="S30" s="252">
        <v>23799804.83024</v>
      </c>
      <c r="T30" s="70"/>
      <c r="U30" s="70"/>
      <c r="V30" s="70"/>
      <c r="W30" s="208">
        <v>2017</v>
      </c>
      <c r="X30" s="168" t="s">
        <v>51</v>
      </c>
      <c r="Y30" s="169">
        <v>14156174.683576092</v>
      </c>
      <c r="Z30" s="169">
        <v>5477359.4072581511</v>
      </c>
      <c r="AA30" s="169">
        <v>3466929.6288859756</v>
      </c>
      <c r="AB30" s="69" t="s">
        <v>287</v>
      </c>
      <c r="AC30" s="69" t="s">
        <v>287</v>
      </c>
      <c r="AD30" s="69" t="s">
        <v>287</v>
      </c>
      <c r="AE30" s="69" t="s">
        <v>287</v>
      </c>
      <c r="AF30" s="69" t="s">
        <v>287</v>
      </c>
      <c r="AG30" s="69" t="s">
        <v>287</v>
      </c>
      <c r="AH30" s="69" t="s">
        <v>287</v>
      </c>
      <c r="AI30" s="69" t="s">
        <v>287</v>
      </c>
      <c r="AJ30" s="70"/>
      <c r="AK30" s="70"/>
      <c r="AL30" s="208">
        <v>2017</v>
      </c>
      <c r="AM30" s="168" t="s">
        <v>51</v>
      </c>
      <c r="AN30" s="252">
        <v>3257817.5131533844</v>
      </c>
      <c r="AO30" s="70"/>
      <c r="AP30" s="226"/>
      <c r="AQ30" s="70"/>
      <c r="AR30" s="70"/>
      <c r="AS30" s="70"/>
      <c r="AT30" s="70"/>
      <c r="AU30" s="70"/>
      <c r="AV30" s="70"/>
      <c r="AW30" s="70"/>
      <c r="AX30" s="70"/>
      <c r="AY30" s="70"/>
      <c r="AZ30" s="70"/>
      <c r="BA30" s="70"/>
      <c r="BB30" s="70"/>
      <c r="BC30" s="70"/>
      <c r="BD30" s="70"/>
      <c r="BE30" s="70"/>
      <c r="BF30" s="70"/>
      <c r="BG30" s="70"/>
    </row>
    <row r="31" spans="1:59" x14ac:dyDescent="0.35">
      <c r="A31" s="208">
        <v>2018</v>
      </c>
      <c r="B31" s="168" t="s">
        <v>53</v>
      </c>
      <c r="C31" s="169">
        <v>17204084.786790002</v>
      </c>
      <c r="D31" s="169">
        <v>7933820.8385299994</v>
      </c>
      <c r="E31" s="69" t="s">
        <v>287</v>
      </c>
      <c r="F31" s="69" t="s">
        <v>287</v>
      </c>
      <c r="G31" s="69" t="s">
        <v>287</v>
      </c>
      <c r="H31" s="69" t="s">
        <v>287</v>
      </c>
      <c r="I31" s="69" t="s">
        <v>287</v>
      </c>
      <c r="J31" s="69" t="s">
        <v>287</v>
      </c>
      <c r="K31" s="69" t="s">
        <v>287</v>
      </c>
      <c r="L31" s="69" t="s">
        <v>287</v>
      </c>
      <c r="M31" s="69" t="s">
        <v>287</v>
      </c>
      <c r="N31" s="70"/>
      <c r="O31" s="70"/>
      <c r="P31" s="208">
        <v>2018</v>
      </c>
      <c r="Q31" s="168" t="s">
        <v>53</v>
      </c>
      <c r="R31" s="252">
        <v>7933820.8385299994</v>
      </c>
      <c r="S31" s="252">
        <v>25137905.625319999</v>
      </c>
      <c r="T31" s="70"/>
      <c r="U31" s="70"/>
      <c r="V31" s="70"/>
      <c r="W31" s="208">
        <v>2018</v>
      </c>
      <c r="X31" s="168" t="s">
        <v>53</v>
      </c>
      <c r="Y31" s="169">
        <v>14459554.562623972</v>
      </c>
      <c r="Z31" s="169">
        <v>4802312.0365260933</v>
      </c>
      <c r="AA31" s="69" t="s">
        <v>287</v>
      </c>
      <c r="AB31" s="69" t="s">
        <v>287</v>
      </c>
      <c r="AC31" s="69" t="s">
        <v>287</v>
      </c>
      <c r="AD31" s="69" t="s">
        <v>287</v>
      </c>
      <c r="AE31" s="69" t="s">
        <v>287</v>
      </c>
      <c r="AF31" s="69" t="s">
        <v>287</v>
      </c>
      <c r="AG31" s="69" t="s">
        <v>287</v>
      </c>
      <c r="AH31" s="69" t="s">
        <v>287</v>
      </c>
      <c r="AI31" s="69" t="s">
        <v>287</v>
      </c>
      <c r="AJ31" s="70"/>
      <c r="AK31" s="70"/>
      <c r="AL31" s="208">
        <v>2018</v>
      </c>
      <c r="AM31" s="168" t="s">
        <v>53</v>
      </c>
      <c r="AN31" s="252">
        <v>4596816.145282669</v>
      </c>
      <c r="AO31" s="70"/>
      <c r="AP31" s="226"/>
      <c r="AQ31" s="70"/>
      <c r="AR31" s="70"/>
      <c r="AS31" s="70"/>
      <c r="AT31" s="70"/>
      <c r="AU31" s="70"/>
      <c r="AV31" s="70"/>
      <c r="AW31" s="70"/>
      <c r="AX31" s="70"/>
      <c r="AY31" s="70"/>
      <c r="AZ31" s="70"/>
      <c r="BA31" s="70"/>
      <c r="BB31" s="70"/>
      <c r="BC31" s="70"/>
      <c r="BD31" s="70"/>
      <c r="BE31" s="70"/>
      <c r="BF31" s="70"/>
      <c r="BG31" s="70"/>
    </row>
    <row r="32" spans="1:59" x14ac:dyDescent="0.35">
      <c r="A32" s="208">
        <v>2019</v>
      </c>
      <c r="B32" s="168" t="s">
        <v>55</v>
      </c>
      <c r="C32" s="169">
        <v>18546108.152569998</v>
      </c>
      <c r="D32" s="69" t="s">
        <v>287</v>
      </c>
      <c r="E32" s="69" t="s">
        <v>287</v>
      </c>
      <c r="F32" s="69" t="s">
        <v>287</v>
      </c>
      <c r="G32" s="69" t="s">
        <v>287</v>
      </c>
      <c r="H32" s="69" t="s">
        <v>287</v>
      </c>
      <c r="I32" s="69" t="s">
        <v>287</v>
      </c>
      <c r="J32" s="69" t="s">
        <v>287</v>
      </c>
      <c r="K32" s="69" t="s">
        <v>287</v>
      </c>
      <c r="L32" s="69" t="s">
        <v>287</v>
      </c>
      <c r="M32" s="69" t="s">
        <v>287</v>
      </c>
      <c r="N32" s="70"/>
      <c r="O32" s="70"/>
      <c r="P32" s="208">
        <v>2019</v>
      </c>
      <c r="Q32" s="168" t="s">
        <v>55</v>
      </c>
      <c r="R32" s="252">
        <v>18546108.152569998</v>
      </c>
      <c r="S32" s="252">
        <v>18546108.152569998</v>
      </c>
      <c r="T32" s="70"/>
      <c r="U32" s="70"/>
      <c r="V32" s="70"/>
      <c r="W32" s="208">
        <v>2019</v>
      </c>
      <c r="X32" s="168" t="s">
        <v>55</v>
      </c>
      <c r="Y32" s="169">
        <v>14595917.589970987</v>
      </c>
      <c r="Z32" s="69" t="s">
        <v>287</v>
      </c>
      <c r="AA32" s="69" t="s">
        <v>287</v>
      </c>
      <c r="AB32" s="69" t="s">
        <v>287</v>
      </c>
      <c r="AC32" s="69" t="s">
        <v>287</v>
      </c>
      <c r="AD32" s="69" t="s">
        <v>287</v>
      </c>
      <c r="AE32" s="69" t="s">
        <v>287</v>
      </c>
      <c r="AF32" s="69" t="s">
        <v>287</v>
      </c>
      <c r="AG32" s="69" t="s">
        <v>287</v>
      </c>
      <c r="AH32" s="69" t="s">
        <v>287</v>
      </c>
      <c r="AI32" s="69" t="s">
        <v>287</v>
      </c>
      <c r="AJ32" s="70"/>
      <c r="AK32" s="70"/>
      <c r="AL32" s="208">
        <v>2019</v>
      </c>
      <c r="AM32" s="168" t="s">
        <v>55</v>
      </c>
      <c r="AN32" s="252">
        <v>14130294.664471403</v>
      </c>
      <c r="AO32" s="70"/>
      <c r="AP32" s="226"/>
      <c r="AQ32" s="70"/>
      <c r="AR32" s="70"/>
      <c r="AS32" s="70"/>
      <c r="AT32" s="70"/>
      <c r="AU32" s="70"/>
      <c r="AV32" s="70"/>
      <c r="AW32" s="70"/>
      <c r="AX32" s="70"/>
      <c r="AY32" s="70"/>
      <c r="AZ32" s="70"/>
      <c r="BA32" s="70"/>
      <c r="BB32" s="70"/>
      <c r="BC32" s="70"/>
      <c r="BD32" s="70"/>
      <c r="BE32" s="70"/>
      <c r="BF32" s="70"/>
      <c r="BG32" s="70"/>
    </row>
    <row r="33" spans="1:64" x14ac:dyDescent="0.35">
      <c r="A33" s="70"/>
      <c r="C33" s="70"/>
      <c r="D33" s="70"/>
      <c r="E33" s="70"/>
      <c r="F33" s="70"/>
      <c r="G33" s="70"/>
      <c r="H33" s="70"/>
      <c r="I33" s="70"/>
      <c r="J33" s="70"/>
      <c r="K33" s="70"/>
      <c r="L33" s="70"/>
      <c r="M33" s="70"/>
      <c r="N33" s="70"/>
      <c r="O33" s="70"/>
      <c r="P33" s="208" t="s">
        <v>166</v>
      </c>
      <c r="Q33" s="168" t="s">
        <v>57</v>
      </c>
      <c r="R33" s="252">
        <v>30687146.239750002</v>
      </c>
      <c r="S33" s="252">
        <v>236461971.83407795</v>
      </c>
      <c r="T33" s="70"/>
      <c r="U33" s="70"/>
      <c r="V33" s="70"/>
      <c r="W33" s="70"/>
      <c r="X33" s="70"/>
      <c r="Y33" s="70"/>
      <c r="Z33" s="70"/>
      <c r="AA33" s="70"/>
      <c r="AB33" s="70"/>
      <c r="AC33" s="70"/>
      <c r="AD33" s="70"/>
      <c r="AE33" s="70"/>
      <c r="AF33" s="70"/>
      <c r="AG33" s="70"/>
      <c r="AH33" s="70"/>
      <c r="AI33" s="70"/>
      <c r="AK33" s="70"/>
      <c r="AL33" s="208" t="s">
        <v>166</v>
      </c>
      <c r="AM33" s="168" t="s">
        <v>57</v>
      </c>
      <c r="AN33" s="252">
        <v>42021758.954931371</v>
      </c>
      <c r="AO33" s="70"/>
      <c r="AP33" s="170"/>
      <c r="AQ33" s="70"/>
      <c r="AR33" s="70"/>
      <c r="AS33" s="70"/>
      <c r="AT33" s="70"/>
      <c r="AU33" s="70"/>
      <c r="AV33" s="70"/>
      <c r="AW33" s="70"/>
      <c r="AX33" s="70"/>
      <c r="AY33" s="70"/>
      <c r="AZ33" s="70"/>
      <c r="BA33" s="70"/>
      <c r="BB33" s="70"/>
      <c r="BC33" s="70"/>
      <c r="BD33" s="70"/>
      <c r="BE33" s="70"/>
      <c r="BF33" s="70"/>
      <c r="BG33" s="70"/>
    </row>
    <row r="34" spans="1:64" x14ac:dyDescent="0.35">
      <c r="A34" s="70"/>
      <c r="B34" s="70"/>
      <c r="N34" s="164"/>
      <c r="O34" s="70"/>
      <c r="P34" s="70"/>
      <c r="Q34" s="70"/>
      <c r="R34" s="70"/>
      <c r="S34" s="70"/>
      <c r="T34" s="70"/>
      <c r="U34" s="70"/>
      <c r="V34" s="70"/>
      <c r="W34" s="70"/>
      <c r="X34" s="70"/>
      <c r="AJ34" s="70"/>
      <c r="AK34" s="70"/>
      <c r="AL34" s="70"/>
      <c r="AM34" s="70"/>
      <c r="AN34" s="70"/>
      <c r="AO34" s="70"/>
      <c r="AP34" s="70"/>
      <c r="AQ34" s="70"/>
      <c r="AR34" s="70"/>
      <c r="AS34" s="70"/>
      <c r="AT34" s="70"/>
      <c r="AU34" s="70"/>
      <c r="AV34" s="70"/>
      <c r="AW34" s="70"/>
      <c r="AX34" s="70"/>
      <c r="AY34" s="70"/>
      <c r="AZ34" s="70"/>
      <c r="BA34" s="70"/>
      <c r="BB34" s="70"/>
      <c r="BC34" s="70"/>
      <c r="BD34" s="70"/>
      <c r="BE34" s="70"/>
      <c r="BF34" s="70"/>
      <c r="BG34" s="70"/>
    </row>
    <row r="35" spans="1:64" x14ac:dyDescent="0.35">
      <c r="A35" s="70"/>
      <c r="B35" s="70"/>
      <c r="N35" s="164"/>
      <c r="O35" s="70"/>
      <c r="P35" s="70"/>
      <c r="Q35" s="70"/>
      <c r="R35" s="70"/>
      <c r="S35" s="70"/>
      <c r="T35" s="70"/>
      <c r="U35" s="70"/>
      <c r="V35" s="70"/>
      <c r="W35" s="70"/>
      <c r="X35" s="70"/>
      <c r="AJ35" s="70"/>
      <c r="AK35" s="70"/>
      <c r="AL35" s="70"/>
      <c r="AM35" s="70"/>
      <c r="AN35" s="70"/>
      <c r="AO35" s="70"/>
      <c r="AP35" s="70"/>
      <c r="AQ35" s="70"/>
      <c r="AR35" s="70"/>
      <c r="AS35" s="70"/>
      <c r="AT35" s="70"/>
      <c r="AU35" s="70"/>
      <c r="AV35" s="70"/>
      <c r="AW35" s="70"/>
      <c r="AX35" s="70"/>
      <c r="AY35" s="70"/>
      <c r="AZ35" s="70"/>
      <c r="BA35" s="70"/>
      <c r="BB35" s="70"/>
      <c r="BC35" s="70"/>
      <c r="BD35" s="70"/>
      <c r="BE35" s="70"/>
      <c r="BF35" s="70"/>
      <c r="BG35" s="70"/>
    </row>
    <row r="36" spans="1:64" x14ac:dyDescent="0.35">
      <c r="E36" s="70"/>
      <c r="F36" s="70"/>
      <c r="G36" s="70"/>
      <c r="H36" s="70"/>
      <c r="I36" s="70"/>
      <c r="J36" s="70"/>
      <c r="K36" s="70"/>
      <c r="L36" s="70"/>
      <c r="M36" s="70"/>
      <c r="N36" s="70"/>
      <c r="O36" s="70"/>
      <c r="P36" s="70"/>
      <c r="Q36" s="70"/>
      <c r="R36" s="70"/>
      <c r="S36" s="70"/>
      <c r="T36" s="70"/>
      <c r="U36" s="70"/>
      <c r="V36" s="70"/>
      <c r="W36" s="70"/>
      <c r="X36" s="70"/>
      <c r="Y36" s="70"/>
      <c r="Z36" s="70"/>
      <c r="AA36" s="70"/>
      <c r="AB36" s="70"/>
      <c r="AC36" s="70"/>
      <c r="AD36" s="70"/>
      <c r="AE36" s="70"/>
      <c r="AF36" s="70"/>
      <c r="AG36" s="70"/>
      <c r="AH36" s="70"/>
      <c r="AI36" s="70"/>
      <c r="AJ36" s="70"/>
      <c r="AK36" s="70"/>
      <c r="AL36" s="70"/>
      <c r="AM36" s="70"/>
      <c r="AN36" s="70"/>
      <c r="AO36" s="70"/>
      <c r="AP36" s="70"/>
      <c r="AQ36" s="70"/>
      <c r="AR36" s="70"/>
      <c r="AS36" s="70"/>
      <c r="AT36" s="70"/>
      <c r="AU36" s="70"/>
      <c r="AV36" s="70"/>
      <c r="AW36" s="70"/>
      <c r="AX36" s="70"/>
      <c r="AY36" s="70"/>
      <c r="AZ36" s="70"/>
      <c r="BA36" s="70"/>
      <c r="BB36" s="70"/>
      <c r="BC36" s="70"/>
      <c r="BD36" s="70"/>
      <c r="BE36" s="70"/>
      <c r="BF36" s="70"/>
      <c r="BG36" s="70"/>
      <c r="BH36" s="70"/>
      <c r="BI36" s="70"/>
      <c r="BJ36" s="70"/>
      <c r="BK36" s="70"/>
      <c r="BL36" s="70"/>
    </row>
    <row r="37" spans="1:64" x14ac:dyDescent="0.35">
      <c r="D37" s="217"/>
      <c r="E37" s="70"/>
      <c r="F37" s="70"/>
      <c r="G37" s="70"/>
      <c r="H37" s="70"/>
      <c r="I37" s="70"/>
      <c r="J37" s="70"/>
      <c r="K37" s="70"/>
      <c r="L37" s="70"/>
      <c r="M37" s="70"/>
      <c r="N37" s="70"/>
      <c r="O37" s="70"/>
      <c r="P37" s="70"/>
      <c r="Q37" s="70"/>
      <c r="R37" s="70"/>
      <c r="S37" s="70"/>
      <c r="T37" s="70"/>
      <c r="U37" s="70"/>
      <c r="V37" s="70"/>
      <c r="W37" s="70"/>
      <c r="X37" s="70"/>
      <c r="Y37" s="70"/>
      <c r="Z37" s="70"/>
      <c r="AA37" s="70"/>
      <c r="AB37" s="70"/>
      <c r="AC37" s="70"/>
      <c r="AD37" s="70"/>
      <c r="AE37" s="70"/>
      <c r="AF37" s="70"/>
      <c r="AG37" s="70"/>
      <c r="AH37" s="70"/>
      <c r="AI37" s="70"/>
      <c r="AJ37" s="70"/>
      <c r="AK37" s="70"/>
      <c r="AL37" s="70"/>
      <c r="AM37" s="70"/>
      <c r="AN37" s="70"/>
      <c r="AO37" s="70"/>
      <c r="AP37" s="70"/>
      <c r="AQ37" s="70"/>
      <c r="AR37" s="70"/>
      <c r="AS37" s="70"/>
      <c r="AT37" s="70"/>
      <c r="AU37" s="70"/>
      <c r="AV37" s="70"/>
      <c r="AW37" s="70"/>
      <c r="AX37" s="70"/>
      <c r="AY37" s="70"/>
      <c r="AZ37" s="70"/>
      <c r="BA37" s="70"/>
      <c r="BB37" s="70"/>
      <c r="BC37" s="70"/>
      <c r="BD37" s="70"/>
      <c r="BE37" s="70"/>
      <c r="BF37" s="70"/>
      <c r="BG37" s="70"/>
      <c r="BH37" s="70"/>
      <c r="BI37" s="70"/>
      <c r="BJ37" s="70"/>
      <c r="BK37" s="70"/>
      <c r="BL37" s="70"/>
    </row>
    <row r="38" spans="1:64" x14ac:dyDescent="0.35">
      <c r="E38" s="70"/>
      <c r="F38" s="70"/>
      <c r="G38" s="70"/>
      <c r="H38" s="70"/>
      <c r="I38" s="70"/>
      <c r="J38" s="70"/>
      <c r="K38" s="70"/>
      <c r="L38" s="70"/>
      <c r="M38" s="70"/>
      <c r="N38" s="70"/>
      <c r="O38" s="70"/>
      <c r="P38" s="70"/>
      <c r="Q38" s="70"/>
      <c r="R38" s="70"/>
      <c r="S38" s="70"/>
      <c r="T38" s="70"/>
      <c r="U38" s="70"/>
      <c r="V38" s="70"/>
      <c r="W38" s="70"/>
      <c r="X38" s="70"/>
      <c r="Y38" s="70"/>
      <c r="Z38" s="70"/>
      <c r="AA38" s="70"/>
      <c r="AB38" s="70"/>
      <c r="AC38" s="70"/>
      <c r="AD38" s="70"/>
      <c r="AE38" s="70"/>
      <c r="AF38" s="70"/>
      <c r="AG38" s="70"/>
      <c r="AH38" s="70"/>
      <c r="AI38" s="70"/>
      <c r="AJ38" s="70"/>
      <c r="AK38" s="70"/>
      <c r="AL38" s="70"/>
      <c r="AM38" s="70"/>
      <c r="AN38" s="70"/>
      <c r="AO38" s="70"/>
      <c r="AP38" s="70"/>
      <c r="AQ38" s="70"/>
      <c r="AR38" s="70"/>
      <c r="AS38" s="70"/>
      <c r="AT38" s="70"/>
      <c r="AU38" s="70"/>
      <c r="AV38" s="70"/>
      <c r="AW38" s="70"/>
      <c r="AX38" s="70"/>
      <c r="AY38" s="70"/>
      <c r="AZ38" s="70"/>
      <c r="BA38" s="70"/>
      <c r="BB38" s="70"/>
      <c r="BC38" s="70"/>
      <c r="BD38" s="70"/>
      <c r="BE38" s="70"/>
      <c r="BF38" s="70"/>
      <c r="BG38" s="70"/>
      <c r="BH38" s="70"/>
      <c r="BI38" s="70"/>
      <c r="BJ38" s="70"/>
      <c r="BK38" s="70"/>
      <c r="BL38" s="70"/>
    </row>
    <row r="39" spans="1:64" x14ac:dyDescent="0.35">
      <c r="E39" s="70"/>
      <c r="F39" s="70"/>
      <c r="G39" s="70"/>
      <c r="H39" s="70"/>
      <c r="I39" s="70"/>
      <c r="J39" s="70"/>
      <c r="K39" s="70"/>
      <c r="L39" s="70"/>
      <c r="M39" s="70"/>
      <c r="N39" s="70"/>
      <c r="O39" s="70"/>
      <c r="P39" s="70"/>
      <c r="Q39" s="70"/>
      <c r="R39" s="70"/>
      <c r="S39" s="70"/>
      <c r="T39" s="70"/>
      <c r="U39" s="70"/>
      <c r="V39" s="70"/>
      <c r="W39" s="70"/>
      <c r="X39" s="107"/>
      <c r="Y39" s="107"/>
      <c r="Z39" s="70"/>
      <c r="AA39" s="70"/>
      <c r="AB39" s="70"/>
      <c r="AC39" s="70"/>
      <c r="AD39" s="70"/>
      <c r="AE39" s="70"/>
      <c r="AF39" s="70"/>
      <c r="AG39" s="70"/>
      <c r="AH39" s="70"/>
      <c r="AI39" s="70"/>
      <c r="AJ39" s="70"/>
      <c r="AK39" s="70"/>
      <c r="AL39" s="70"/>
      <c r="AM39" s="70"/>
      <c r="AN39" s="70"/>
      <c r="AO39" s="70"/>
      <c r="AP39" s="70"/>
      <c r="AQ39" s="70"/>
      <c r="AR39" s="70"/>
      <c r="AS39" s="70"/>
      <c r="AT39" s="70"/>
      <c r="AU39" s="70"/>
      <c r="AV39" s="70"/>
      <c r="AW39" s="70"/>
      <c r="AX39" s="70"/>
      <c r="AY39" s="70"/>
      <c r="AZ39" s="70"/>
      <c r="BA39" s="70"/>
      <c r="BB39" s="70"/>
      <c r="BC39" s="70"/>
      <c r="BD39" s="70"/>
      <c r="BE39" s="70"/>
      <c r="BF39" s="70"/>
      <c r="BG39" s="70"/>
      <c r="BH39" s="70"/>
      <c r="BI39" s="70"/>
      <c r="BJ39" s="70"/>
      <c r="BK39" s="70"/>
      <c r="BL39" s="70"/>
    </row>
    <row r="40" spans="1:64" x14ac:dyDescent="0.35">
      <c r="B40" s="70"/>
      <c r="C40" s="70"/>
      <c r="D40" s="70"/>
      <c r="E40" s="70"/>
      <c r="F40" s="70"/>
      <c r="G40" s="70"/>
      <c r="H40" s="70"/>
      <c r="I40" s="70"/>
      <c r="J40" s="70"/>
      <c r="K40" s="70"/>
      <c r="L40" s="70"/>
      <c r="M40" s="70"/>
      <c r="N40" s="70"/>
      <c r="O40" s="70"/>
      <c r="P40" s="70"/>
      <c r="Q40" s="70"/>
      <c r="R40" s="70"/>
      <c r="S40" s="70"/>
      <c r="T40" s="70"/>
      <c r="U40" s="70"/>
      <c r="V40" s="70"/>
      <c r="W40" s="70"/>
      <c r="X40" s="70"/>
      <c r="Y40" s="70"/>
      <c r="Z40" s="70"/>
      <c r="AA40" s="70"/>
      <c r="AB40" s="70"/>
      <c r="AC40" s="70"/>
      <c r="AD40" s="70"/>
      <c r="AE40" s="70"/>
      <c r="AF40" s="70"/>
      <c r="AG40" s="70"/>
      <c r="AH40" s="70"/>
      <c r="AI40" s="70"/>
      <c r="AJ40" s="70"/>
      <c r="AK40" s="70"/>
      <c r="AL40" s="70"/>
      <c r="AM40" s="70"/>
      <c r="AN40" s="70"/>
      <c r="AO40" s="70"/>
      <c r="AP40" s="70"/>
      <c r="AQ40" s="70"/>
      <c r="AR40" s="70"/>
      <c r="AS40" s="70"/>
      <c r="AT40" s="70"/>
      <c r="AU40" s="70"/>
      <c r="AV40" s="70"/>
      <c r="AW40" s="70"/>
      <c r="AX40" s="70"/>
      <c r="AY40" s="70"/>
      <c r="AZ40" s="70"/>
      <c r="BA40" s="70"/>
      <c r="BB40" s="70"/>
      <c r="BC40" s="70"/>
      <c r="BD40" s="70"/>
      <c r="BE40" s="70"/>
      <c r="BF40" s="70"/>
      <c r="BG40" s="70"/>
      <c r="BH40" s="70"/>
      <c r="BI40" s="70"/>
      <c r="BJ40" s="70"/>
      <c r="BK40" s="70"/>
      <c r="BL40" s="70"/>
    </row>
    <row r="41" spans="1:64" x14ac:dyDescent="0.35">
      <c r="A41" s="70"/>
      <c r="B41" s="70"/>
      <c r="C41" s="70"/>
      <c r="D41" s="70"/>
      <c r="E41" s="70"/>
      <c r="F41" s="70"/>
      <c r="G41" s="70"/>
      <c r="H41" s="70"/>
      <c r="I41" s="70"/>
      <c r="J41" s="70"/>
      <c r="K41" s="70"/>
      <c r="L41" s="70"/>
      <c r="M41" s="70"/>
      <c r="N41" s="70"/>
      <c r="O41" s="70"/>
      <c r="P41" s="70"/>
      <c r="Q41" s="70"/>
      <c r="R41" s="70"/>
      <c r="S41" s="70"/>
      <c r="T41" s="70"/>
      <c r="U41" s="70"/>
      <c r="V41" s="70"/>
      <c r="W41" s="70"/>
      <c r="X41" s="70"/>
      <c r="Y41" s="70"/>
      <c r="Z41" s="70"/>
      <c r="AA41" s="70"/>
      <c r="AB41" s="70"/>
      <c r="AC41" s="70"/>
      <c r="AD41" s="70"/>
      <c r="AE41" s="70"/>
      <c r="AF41" s="70"/>
      <c r="AG41" s="70"/>
      <c r="AH41" s="70"/>
      <c r="AI41" s="70"/>
      <c r="AJ41" s="70"/>
      <c r="AK41" s="70"/>
      <c r="AL41" s="70"/>
      <c r="AM41" s="70"/>
      <c r="AN41" s="70"/>
      <c r="AO41" s="70"/>
      <c r="AP41" s="70"/>
      <c r="AQ41" s="70"/>
      <c r="AR41" s="70"/>
      <c r="AS41" s="70"/>
      <c r="AT41" s="70"/>
      <c r="AU41" s="70"/>
      <c r="AV41" s="70"/>
      <c r="AW41" s="70"/>
      <c r="AX41" s="70"/>
      <c r="AY41" s="70"/>
      <c r="AZ41" s="70"/>
      <c r="BA41" s="70"/>
      <c r="BB41" s="70"/>
      <c r="BC41" s="70"/>
      <c r="BD41" s="70"/>
      <c r="BE41" s="70"/>
      <c r="BF41" s="70"/>
      <c r="BG41" s="70"/>
      <c r="BH41" s="70"/>
      <c r="BI41" s="70"/>
      <c r="BJ41" s="70"/>
      <c r="BK41" s="70"/>
      <c r="BL41" s="70"/>
    </row>
    <row r="42" spans="1:64" x14ac:dyDescent="0.35">
      <c r="A42" s="70"/>
      <c r="B42" s="70"/>
      <c r="C42" s="70"/>
      <c r="D42" s="70"/>
      <c r="E42" s="70"/>
      <c r="F42" s="70"/>
      <c r="G42" s="70"/>
      <c r="H42" s="70"/>
      <c r="I42" s="70"/>
      <c r="J42" s="70"/>
      <c r="K42" s="70"/>
      <c r="L42" s="70"/>
      <c r="M42" s="70"/>
      <c r="N42" s="70"/>
      <c r="O42" s="70"/>
      <c r="P42" s="70"/>
      <c r="Q42" s="70"/>
      <c r="R42" s="70"/>
      <c r="S42" s="70"/>
      <c r="T42" s="70"/>
      <c r="U42" s="70"/>
      <c r="V42" s="70"/>
      <c r="W42" s="70"/>
      <c r="X42" s="70"/>
      <c r="Y42" s="70"/>
      <c r="Z42" s="70"/>
      <c r="AA42" s="70"/>
      <c r="AB42" s="70"/>
      <c r="AC42" s="70"/>
      <c r="AD42" s="70"/>
      <c r="AE42" s="70"/>
      <c r="AF42" s="70"/>
      <c r="AG42" s="70"/>
      <c r="AH42" s="70"/>
      <c r="AI42" s="70"/>
      <c r="AJ42" s="70"/>
      <c r="AK42" s="70"/>
      <c r="AL42" s="70"/>
      <c r="AM42" s="70"/>
      <c r="AN42" s="70"/>
      <c r="AO42" s="70"/>
      <c r="AP42" s="70"/>
      <c r="AQ42" s="70"/>
      <c r="AR42" s="70"/>
      <c r="AS42" s="70"/>
      <c r="AT42" s="70"/>
      <c r="AU42" s="70"/>
      <c r="AV42" s="70"/>
      <c r="AW42" s="70"/>
      <c r="AX42" s="70"/>
      <c r="AY42" s="70"/>
      <c r="AZ42" s="70"/>
      <c r="BA42" s="70"/>
      <c r="BB42" s="70"/>
      <c r="BC42" s="70"/>
      <c r="BD42" s="70"/>
      <c r="BE42" s="70"/>
      <c r="BF42" s="70"/>
      <c r="BG42" s="70"/>
      <c r="BH42" s="70"/>
      <c r="BI42" s="70"/>
      <c r="BJ42" s="70"/>
      <c r="BK42" s="70"/>
      <c r="BL42" s="70"/>
    </row>
    <row r="43" spans="1:64" x14ac:dyDescent="0.35">
      <c r="A43" s="70"/>
      <c r="B43" s="70"/>
      <c r="C43" s="70"/>
      <c r="D43" s="70"/>
      <c r="E43" s="70"/>
      <c r="F43" s="70"/>
      <c r="G43" s="70"/>
      <c r="H43" s="70"/>
      <c r="I43" s="70"/>
      <c r="J43" s="70"/>
      <c r="K43" s="70"/>
      <c r="L43" s="70"/>
      <c r="M43" s="70"/>
      <c r="N43" s="70"/>
      <c r="O43" s="70"/>
      <c r="P43" s="70"/>
      <c r="Q43" s="70"/>
      <c r="R43" s="70"/>
      <c r="S43" s="70"/>
      <c r="T43" s="70"/>
      <c r="U43" s="70"/>
      <c r="V43" s="70"/>
      <c r="W43" s="70"/>
      <c r="X43" s="70"/>
      <c r="Y43" s="70"/>
      <c r="Z43" s="70"/>
      <c r="AA43" s="70"/>
      <c r="AB43" s="70"/>
      <c r="AC43" s="70"/>
      <c r="AD43" s="70"/>
      <c r="AE43" s="70"/>
      <c r="AF43" s="70"/>
      <c r="AG43" s="70"/>
      <c r="AH43" s="70"/>
      <c r="AI43" s="70"/>
      <c r="AJ43" s="70"/>
      <c r="AK43" s="70"/>
      <c r="AL43" s="70"/>
      <c r="AM43" s="70"/>
      <c r="AN43" s="70"/>
      <c r="AO43" s="70"/>
      <c r="AP43" s="70"/>
      <c r="AQ43" s="70"/>
      <c r="AR43" s="70"/>
      <c r="AS43" s="70"/>
      <c r="AT43" s="70"/>
      <c r="AU43" s="70"/>
      <c r="AV43" s="70"/>
      <c r="AW43" s="70"/>
      <c r="AX43" s="70"/>
      <c r="AY43" s="70"/>
      <c r="AZ43" s="70"/>
      <c r="BA43" s="70"/>
      <c r="BB43" s="70"/>
      <c r="BC43" s="70"/>
      <c r="BD43" s="70"/>
      <c r="BE43" s="70"/>
      <c r="BF43" s="70"/>
      <c r="BG43" s="70"/>
      <c r="BH43" s="70"/>
      <c r="BI43" s="70"/>
      <c r="BJ43" s="70"/>
      <c r="BK43" s="70"/>
      <c r="BL43" s="70"/>
    </row>
    <row r="44" spans="1:64" x14ac:dyDescent="0.35">
      <c r="A44" s="70"/>
      <c r="B44" s="70"/>
      <c r="C44" s="70"/>
      <c r="D44" s="70"/>
      <c r="E44" s="70"/>
      <c r="F44" s="70"/>
      <c r="G44" s="70"/>
      <c r="H44" s="70"/>
      <c r="I44" s="70"/>
      <c r="J44" s="70"/>
      <c r="K44" s="70"/>
      <c r="L44" s="70"/>
      <c r="M44" s="70"/>
      <c r="N44" s="70"/>
      <c r="O44" s="70"/>
      <c r="P44" s="70"/>
      <c r="Q44" s="70"/>
      <c r="R44" s="70"/>
      <c r="S44" s="70"/>
      <c r="T44" s="70"/>
      <c r="U44" s="70"/>
      <c r="V44" s="70"/>
      <c r="W44" s="70"/>
      <c r="X44" s="70"/>
      <c r="Y44" s="70"/>
      <c r="Z44" s="70"/>
      <c r="AA44" s="70"/>
      <c r="AB44" s="70"/>
      <c r="AC44" s="70"/>
      <c r="AD44" s="70"/>
      <c r="AE44" s="70"/>
      <c r="AF44" s="70"/>
      <c r="AG44" s="70"/>
      <c r="AH44" s="70"/>
      <c r="AI44" s="70"/>
      <c r="AJ44" s="70"/>
      <c r="AK44" s="70"/>
      <c r="AL44" s="70"/>
      <c r="AM44" s="70"/>
      <c r="AN44" s="70"/>
      <c r="AO44" s="70"/>
      <c r="AP44" s="70"/>
      <c r="AQ44" s="70"/>
      <c r="AR44" s="70"/>
      <c r="AS44" s="70"/>
      <c r="AT44" s="70"/>
      <c r="AU44" s="70"/>
      <c r="AV44" s="70"/>
      <c r="AW44" s="70"/>
      <c r="AX44" s="70"/>
      <c r="AY44" s="70"/>
      <c r="AZ44" s="70"/>
      <c r="BA44" s="70"/>
      <c r="BB44" s="70"/>
      <c r="BC44" s="70"/>
      <c r="BD44" s="70"/>
      <c r="BE44" s="70"/>
      <c r="BF44" s="70"/>
      <c r="BG44" s="70"/>
      <c r="BH44" s="70"/>
      <c r="BI44" s="70"/>
      <c r="BJ44" s="70"/>
      <c r="BK44" s="70"/>
      <c r="BL44" s="70"/>
    </row>
    <row r="45" spans="1:64" x14ac:dyDescent="0.35">
      <c r="A45" s="70"/>
      <c r="B45" s="70"/>
      <c r="C45" s="70"/>
      <c r="D45" s="70"/>
      <c r="E45" s="70"/>
      <c r="F45" s="70"/>
      <c r="G45" s="70"/>
      <c r="H45" s="70"/>
      <c r="I45" s="70"/>
      <c r="J45" s="70"/>
      <c r="K45" s="70"/>
      <c r="L45" s="70"/>
      <c r="M45" s="70"/>
      <c r="N45" s="70"/>
      <c r="O45" s="70"/>
      <c r="P45" s="70"/>
      <c r="Q45" s="70"/>
      <c r="R45" s="70"/>
      <c r="S45" s="70"/>
      <c r="T45" s="70"/>
      <c r="U45" s="70"/>
      <c r="V45" s="70"/>
      <c r="W45" s="70"/>
      <c r="X45" s="70"/>
      <c r="Y45" s="70"/>
      <c r="Z45" s="70"/>
      <c r="AA45" s="70"/>
      <c r="AB45" s="70"/>
      <c r="AC45" s="70"/>
      <c r="AD45" s="70"/>
      <c r="AE45" s="70"/>
      <c r="AF45" s="70"/>
      <c r="AG45" s="70"/>
      <c r="AH45" s="70"/>
      <c r="AI45" s="70"/>
      <c r="AJ45" s="70"/>
      <c r="AK45" s="70"/>
      <c r="AL45" s="70"/>
      <c r="AM45" s="70"/>
      <c r="AN45" s="70"/>
      <c r="AO45" s="70"/>
      <c r="AP45" s="70"/>
      <c r="AQ45" s="70"/>
      <c r="AR45" s="70"/>
      <c r="AS45" s="70"/>
      <c r="AT45" s="70"/>
      <c r="AU45" s="70"/>
      <c r="AV45" s="70"/>
      <c r="AW45" s="70"/>
      <c r="AX45" s="70"/>
      <c r="AY45" s="70"/>
      <c r="AZ45" s="70"/>
      <c r="BA45" s="70"/>
      <c r="BB45" s="70"/>
      <c r="BC45" s="70"/>
      <c r="BD45" s="70"/>
      <c r="BE45" s="70"/>
      <c r="BF45" s="70"/>
      <c r="BG45" s="70"/>
      <c r="BH45" s="70"/>
      <c r="BI45" s="70"/>
      <c r="BJ45" s="70"/>
      <c r="BK45" s="70"/>
      <c r="BL45" s="70"/>
    </row>
    <row r="46" spans="1:64" x14ac:dyDescent="0.35">
      <c r="A46" s="70"/>
      <c r="B46" s="70"/>
      <c r="C46" s="70"/>
      <c r="D46" s="70"/>
      <c r="E46" s="70"/>
      <c r="F46" s="70"/>
      <c r="G46" s="70"/>
      <c r="H46" s="70"/>
      <c r="I46" s="70"/>
      <c r="J46" s="70"/>
      <c r="K46" s="70"/>
      <c r="L46" s="70"/>
      <c r="M46" s="70"/>
      <c r="N46" s="70"/>
      <c r="O46" s="70"/>
      <c r="P46" s="70"/>
      <c r="Q46" s="70"/>
      <c r="R46" s="70"/>
      <c r="S46" s="70"/>
      <c r="T46" s="70"/>
      <c r="U46" s="70"/>
      <c r="V46" s="70"/>
      <c r="W46" s="70"/>
      <c r="X46" s="70"/>
      <c r="Y46" s="70"/>
      <c r="Z46" s="70"/>
      <c r="AA46" s="70"/>
      <c r="AB46" s="70"/>
      <c r="AC46" s="70"/>
      <c r="AD46" s="70"/>
      <c r="AE46" s="70"/>
      <c r="AF46" s="70"/>
      <c r="AG46" s="70"/>
      <c r="AH46" s="70"/>
      <c r="AI46" s="70"/>
      <c r="AJ46" s="70"/>
      <c r="AK46" s="70"/>
      <c r="AL46" s="70"/>
      <c r="AM46" s="70"/>
      <c r="AN46" s="70"/>
      <c r="AO46" s="70"/>
      <c r="AP46" s="70"/>
      <c r="AQ46" s="70"/>
      <c r="AR46" s="70"/>
      <c r="AS46" s="70"/>
      <c r="AT46" s="70"/>
      <c r="AU46" s="70"/>
      <c r="AV46" s="70"/>
      <c r="AW46" s="70"/>
      <c r="AX46" s="70"/>
      <c r="AY46" s="70"/>
      <c r="AZ46" s="70"/>
      <c r="BA46" s="70"/>
      <c r="BB46" s="70"/>
      <c r="BC46" s="70"/>
      <c r="BD46" s="70"/>
      <c r="BE46" s="70"/>
      <c r="BF46" s="70"/>
      <c r="BG46" s="70"/>
      <c r="BH46" s="70"/>
      <c r="BI46" s="70"/>
      <c r="BJ46" s="70"/>
      <c r="BK46" s="70"/>
      <c r="BL46" s="70"/>
    </row>
    <row r="47" spans="1:64" x14ac:dyDescent="0.35">
      <c r="A47" s="70"/>
      <c r="B47" s="70"/>
      <c r="C47" s="70"/>
      <c r="D47" s="70"/>
      <c r="E47" s="70"/>
      <c r="F47" s="70"/>
      <c r="G47" s="70"/>
      <c r="H47" s="70"/>
      <c r="I47" s="70"/>
      <c r="J47" s="70"/>
      <c r="K47" s="70"/>
      <c r="L47" s="70"/>
      <c r="M47" s="70"/>
      <c r="N47" s="70"/>
      <c r="O47" s="70"/>
      <c r="P47" s="70"/>
      <c r="Q47" s="70"/>
      <c r="R47" s="70"/>
      <c r="S47" s="70"/>
      <c r="T47" s="70"/>
      <c r="U47" s="70"/>
      <c r="V47" s="70"/>
      <c r="W47" s="70"/>
      <c r="X47" s="70"/>
      <c r="Y47" s="70"/>
      <c r="Z47" s="70"/>
      <c r="AA47" s="70"/>
      <c r="AB47" s="70"/>
      <c r="AC47" s="70"/>
      <c r="AD47" s="70"/>
      <c r="AE47" s="70"/>
      <c r="AF47" s="70"/>
      <c r="AG47" s="70"/>
      <c r="AH47" s="70"/>
      <c r="AI47" s="70"/>
      <c r="AJ47" s="70"/>
      <c r="AK47" s="70"/>
      <c r="AL47" s="70"/>
      <c r="AM47" s="70"/>
      <c r="AN47" s="70"/>
      <c r="AO47" s="70"/>
      <c r="AP47" s="70"/>
      <c r="AQ47" s="70"/>
      <c r="AR47" s="70"/>
      <c r="AS47" s="70"/>
      <c r="AT47" s="70"/>
      <c r="AU47" s="70"/>
      <c r="AV47" s="70"/>
      <c r="AW47" s="70"/>
      <c r="AX47" s="70"/>
      <c r="AY47" s="70"/>
      <c r="AZ47" s="70"/>
      <c r="BA47" s="70"/>
      <c r="BB47" s="70"/>
      <c r="BC47" s="70"/>
      <c r="BD47" s="70"/>
      <c r="BE47" s="70"/>
      <c r="BF47" s="70"/>
      <c r="BG47" s="70"/>
      <c r="BH47" s="70"/>
      <c r="BI47" s="70"/>
      <c r="BJ47" s="70"/>
      <c r="BK47" s="70"/>
      <c r="BL47" s="70"/>
    </row>
    <row r="48" spans="1:64" x14ac:dyDescent="0.35">
      <c r="A48" s="70"/>
      <c r="B48" s="70"/>
      <c r="C48" s="70"/>
      <c r="D48" s="70"/>
      <c r="E48" s="70"/>
      <c r="F48" s="70"/>
      <c r="G48" s="70"/>
      <c r="H48" s="70"/>
      <c r="I48" s="70"/>
      <c r="J48" s="70"/>
      <c r="K48" s="70"/>
      <c r="L48" s="70"/>
      <c r="M48" s="70"/>
      <c r="N48" s="70"/>
      <c r="O48" s="70"/>
      <c r="P48" s="70"/>
      <c r="Q48" s="70"/>
      <c r="R48" s="70"/>
      <c r="S48" s="70"/>
      <c r="T48" s="70"/>
      <c r="U48" s="70"/>
      <c r="V48" s="70"/>
      <c r="W48" s="70"/>
      <c r="X48" s="70"/>
      <c r="Y48" s="70"/>
      <c r="Z48" s="70"/>
      <c r="AA48" s="70"/>
      <c r="AB48" s="70"/>
      <c r="AC48" s="70"/>
      <c r="AD48" s="70"/>
      <c r="AE48" s="70"/>
      <c r="AF48" s="70"/>
      <c r="AG48" s="70"/>
      <c r="AH48" s="70"/>
      <c r="AI48" s="70"/>
      <c r="AJ48" s="70"/>
      <c r="AK48" s="70"/>
      <c r="AL48" s="70"/>
      <c r="AM48" s="70"/>
      <c r="AN48" s="70"/>
      <c r="AO48" s="70"/>
      <c r="AP48" s="70"/>
      <c r="AQ48" s="70"/>
      <c r="AR48" s="70"/>
      <c r="AS48" s="70"/>
      <c r="AT48" s="70"/>
      <c r="AU48" s="70"/>
      <c r="AV48" s="70"/>
      <c r="AW48" s="70"/>
      <c r="AX48" s="70"/>
      <c r="AY48" s="70"/>
      <c r="AZ48" s="70"/>
      <c r="BA48" s="70"/>
      <c r="BB48" s="70"/>
      <c r="BC48" s="70"/>
      <c r="BD48" s="70"/>
      <c r="BE48" s="70"/>
      <c r="BF48" s="70"/>
      <c r="BG48" s="70"/>
      <c r="BH48" s="70"/>
      <c r="BI48" s="70"/>
      <c r="BJ48" s="70"/>
      <c r="BK48" s="70"/>
      <c r="BL48" s="70"/>
    </row>
    <row r="49" spans="1:64" x14ac:dyDescent="0.35">
      <c r="A49" s="70"/>
      <c r="B49" s="70"/>
      <c r="C49" s="70"/>
      <c r="D49" s="70"/>
      <c r="E49" s="70"/>
      <c r="F49" s="70"/>
      <c r="G49" s="70"/>
      <c r="H49" s="70"/>
      <c r="I49" s="70"/>
      <c r="J49" s="70"/>
      <c r="K49" s="70"/>
      <c r="L49" s="70"/>
      <c r="M49" s="70"/>
      <c r="N49" s="70"/>
      <c r="O49" s="70"/>
      <c r="P49" s="70"/>
      <c r="Q49" s="70"/>
      <c r="R49" s="70"/>
      <c r="S49" s="70"/>
      <c r="T49" s="70"/>
      <c r="U49" s="70"/>
      <c r="V49" s="70"/>
      <c r="W49" s="70"/>
      <c r="X49" s="70"/>
      <c r="Y49" s="70"/>
      <c r="Z49" s="70"/>
      <c r="AA49" s="70"/>
      <c r="AB49" s="70"/>
      <c r="AC49" s="70"/>
      <c r="AD49" s="70"/>
      <c r="AE49" s="70"/>
      <c r="AF49" s="70"/>
      <c r="AG49" s="70"/>
      <c r="AH49" s="70"/>
      <c r="AI49" s="70"/>
      <c r="AJ49" s="70"/>
      <c r="AK49" s="70"/>
      <c r="AL49" s="70"/>
      <c r="AM49" s="70"/>
      <c r="AN49" s="70"/>
      <c r="AO49" s="70"/>
      <c r="AP49" s="70"/>
      <c r="AQ49" s="70"/>
      <c r="AR49" s="70"/>
      <c r="AS49" s="70"/>
      <c r="AT49" s="70"/>
      <c r="AU49" s="70"/>
      <c r="AV49" s="70"/>
      <c r="AW49" s="70"/>
      <c r="AX49" s="70"/>
      <c r="AY49" s="70"/>
      <c r="AZ49" s="70"/>
      <c r="BA49" s="70"/>
      <c r="BB49" s="70"/>
      <c r="BC49" s="70"/>
      <c r="BD49" s="70"/>
      <c r="BE49" s="70"/>
      <c r="BF49" s="70"/>
      <c r="BG49" s="70"/>
      <c r="BH49" s="70"/>
      <c r="BI49" s="70"/>
      <c r="BJ49" s="70"/>
      <c r="BK49" s="70"/>
      <c r="BL49" s="70"/>
    </row>
    <row r="50" spans="1:64" x14ac:dyDescent="0.35">
      <c r="A50" s="70"/>
      <c r="B50" s="70"/>
      <c r="C50" s="70"/>
      <c r="D50" s="70"/>
      <c r="E50" s="70"/>
      <c r="F50" s="70"/>
      <c r="G50" s="70"/>
      <c r="H50" s="70"/>
      <c r="I50" s="70"/>
      <c r="J50" s="70"/>
      <c r="K50" s="70"/>
      <c r="L50" s="70"/>
      <c r="M50" s="70"/>
      <c r="N50" s="70"/>
      <c r="O50" s="70"/>
      <c r="P50" s="70"/>
      <c r="Q50" s="70"/>
      <c r="R50" s="70"/>
      <c r="S50" s="70"/>
      <c r="T50" s="70"/>
      <c r="U50" s="70"/>
      <c r="V50" s="70"/>
      <c r="W50" s="70"/>
      <c r="X50" s="70"/>
      <c r="Y50" s="70"/>
      <c r="Z50" s="70"/>
      <c r="AA50" s="70"/>
      <c r="AB50" s="70"/>
      <c r="AC50" s="70"/>
      <c r="AD50" s="70"/>
      <c r="AE50" s="70"/>
      <c r="AF50" s="70"/>
      <c r="AG50" s="70"/>
      <c r="AH50" s="70"/>
      <c r="AI50" s="70"/>
      <c r="AJ50" s="70"/>
      <c r="AK50" s="70"/>
      <c r="AL50" s="70"/>
      <c r="AM50" s="70"/>
      <c r="AN50" s="70"/>
      <c r="AO50" s="70"/>
      <c r="AP50" s="70"/>
      <c r="AQ50" s="70"/>
      <c r="AR50" s="70"/>
      <c r="AS50" s="70"/>
      <c r="AT50" s="70"/>
      <c r="AU50" s="70"/>
      <c r="AV50" s="70"/>
      <c r="AW50" s="70"/>
      <c r="AX50" s="70"/>
      <c r="AY50" s="70"/>
      <c r="AZ50" s="70"/>
      <c r="BA50" s="70"/>
      <c r="BB50" s="70"/>
      <c r="BC50" s="70"/>
      <c r="BD50" s="70"/>
      <c r="BE50" s="70"/>
      <c r="BF50" s="70"/>
      <c r="BG50" s="70"/>
      <c r="BH50" s="70"/>
      <c r="BI50" s="70"/>
      <c r="BJ50" s="70"/>
      <c r="BK50" s="70"/>
      <c r="BL50" s="70"/>
    </row>
    <row r="51" spans="1:64" x14ac:dyDescent="0.35">
      <c r="A51" s="70"/>
      <c r="B51" s="70"/>
      <c r="C51" s="70"/>
      <c r="D51" s="70"/>
      <c r="E51" s="70"/>
      <c r="F51" s="70"/>
      <c r="G51" s="70"/>
      <c r="H51" s="70"/>
      <c r="I51" s="70"/>
      <c r="J51" s="70"/>
      <c r="K51" s="70"/>
      <c r="L51" s="70"/>
      <c r="M51" s="70"/>
      <c r="N51" s="70"/>
      <c r="O51" s="70"/>
      <c r="P51" s="70"/>
      <c r="Q51" s="70"/>
      <c r="R51" s="70"/>
      <c r="S51" s="70"/>
      <c r="T51" s="70"/>
      <c r="U51" s="70"/>
      <c r="V51" s="70"/>
      <c r="W51" s="70"/>
      <c r="X51" s="70"/>
      <c r="Y51" s="70"/>
      <c r="Z51" s="70"/>
      <c r="AA51" s="70"/>
      <c r="AB51" s="70"/>
      <c r="AC51" s="70"/>
      <c r="AD51" s="70"/>
      <c r="AE51" s="70"/>
      <c r="AF51" s="70"/>
      <c r="AG51" s="70"/>
      <c r="AH51" s="70"/>
      <c r="AI51" s="70"/>
      <c r="AJ51" s="70"/>
      <c r="AK51" s="70"/>
      <c r="AL51" s="70"/>
      <c r="AM51" s="70"/>
      <c r="AN51" s="70"/>
      <c r="AO51" s="70"/>
      <c r="AP51" s="70"/>
      <c r="AQ51" s="70"/>
      <c r="AR51" s="70"/>
      <c r="AS51" s="70"/>
      <c r="AT51" s="70"/>
      <c r="AU51" s="70"/>
      <c r="AV51" s="70"/>
      <c r="AW51" s="70"/>
      <c r="AX51" s="70"/>
      <c r="AY51" s="70"/>
      <c r="AZ51" s="70"/>
      <c r="BA51" s="70"/>
      <c r="BB51" s="70"/>
      <c r="BC51" s="70"/>
      <c r="BD51" s="70"/>
      <c r="BE51" s="70"/>
      <c r="BF51" s="70"/>
      <c r="BG51" s="70"/>
      <c r="BH51" s="70"/>
      <c r="BI51" s="70"/>
      <c r="BJ51" s="70"/>
      <c r="BK51" s="70"/>
      <c r="BL51" s="70"/>
    </row>
    <row r="52" spans="1:64" x14ac:dyDescent="0.35">
      <c r="A52" s="70"/>
      <c r="B52" s="70"/>
      <c r="C52" s="70"/>
      <c r="D52" s="70"/>
      <c r="E52" s="70"/>
      <c r="F52" s="70"/>
      <c r="G52" s="70"/>
      <c r="H52" s="70"/>
      <c r="I52" s="70"/>
      <c r="J52" s="70"/>
      <c r="K52" s="70"/>
      <c r="L52" s="70"/>
      <c r="M52" s="70"/>
      <c r="N52" s="70"/>
      <c r="O52" s="70"/>
      <c r="P52" s="70"/>
      <c r="Q52" s="70"/>
      <c r="R52" s="70"/>
      <c r="S52" s="70"/>
      <c r="T52" s="70"/>
      <c r="U52" s="70"/>
      <c r="V52" s="70"/>
      <c r="W52" s="70"/>
      <c r="X52" s="70"/>
      <c r="Y52" s="70"/>
      <c r="Z52" s="70"/>
      <c r="AA52" s="70"/>
      <c r="AB52" s="70"/>
      <c r="AC52" s="70"/>
      <c r="AD52" s="70"/>
      <c r="AE52" s="70"/>
      <c r="AF52" s="70"/>
      <c r="AG52" s="70"/>
      <c r="AH52" s="70"/>
      <c r="AI52" s="70"/>
      <c r="AJ52" s="70"/>
      <c r="AK52" s="70"/>
      <c r="AL52" s="70"/>
      <c r="AM52" s="70"/>
      <c r="AN52" s="70"/>
      <c r="AO52" s="70"/>
      <c r="AP52" s="70"/>
      <c r="AQ52" s="70"/>
      <c r="AR52" s="70"/>
      <c r="AS52" s="70"/>
      <c r="AT52" s="70"/>
      <c r="AU52" s="70"/>
      <c r="AV52" s="70"/>
      <c r="AW52" s="70"/>
      <c r="AX52" s="70"/>
      <c r="AY52" s="70"/>
      <c r="AZ52" s="70"/>
      <c r="BA52" s="70"/>
      <c r="BB52" s="70"/>
      <c r="BC52" s="70"/>
      <c r="BD52" s="70"/>
      <c r="BE52" s="70"/>
      <c r="BF52" s="70"/>
      <c r="BG52" s="70"/>
      <c r="BH52" s="70"/>
      <c r="BI52" s="70"/>
      <c r="BJ52" s="70"/>
      <c r="BK52" s="70"/>
      <c r="BL52" s="70"/>
    </row>
    <row r="53" spans="1:64" x14ac:dyDescent="0.35">
      <c r="A53" s="70"/>
      <c r="B53" s="70"/>
      <c r="C53" s="70"/>
      <c r="D53" s="70"/>
      <c r="E53" s="70"/>
      <c r="F53" s="70"/>
      <c r="G53" s="70"/>
      <c r="H53" s="70"/>
      <c r="I53" s="70"/>
      <c r="J53" s="70"/>
      <c r="K53" s="70"/>
      <c r="L53" s="70"/>
      <c r="M53" s="70"/>
      <c r="N53" s="70"/>
      <c r="O53" s="70"/>
      <c r="P53" s="70"/>
      <c r="Q53" s="70"/>
      <c r="R53" s="70"/>
      <c r="S53" s="70"/>
      <c r="T53" s="70"/>
      <c r="U53" s="70"/>
      <c r="V53" s="70"/>
      <c r="W53" s="70"/>
      <c r="X53" s="70"/>
      <c r="Y53" s="70"/>
      <c r="Z53" s="70"/>
      <c r="AA53" s="70"/>
      <c r="AB53" s="70"/>
      <c r="AC53" s="70"/>
      <c r="AD53" s="70"/>
      <c r="AE53" s="70"/>
      <c r="AF53" s="70"/>
      <c r="AG53" s="70"/>
      <c r="AH53" s="70"/>
      <c r="AI53" s="70"/>
      <c r="AJ53" s="70"/>
      <c r="AK53" s="70"/>
      <c r="AL53" s="70"/>
      <c r="AM53" s="70"/>
      <c r="AN53" s="70"/>
      <c r="AO53" s="70"/>
      <c r="AP53" s="70"/>
      <c r="AQ53" s="70"/>
      <c r="AR53" s="70"/>
      <c r="AS53" s="70"/>
      <c r="AT53" s="70"/>
      <c r="AU53" s="70"/>
      <c r="AV53" s="70"/>
      <c r="AW53" s="70"/>
      <c r="AX53" s="70"/>
      <c r="AY53" s="70"/>
      <c r="AZ53" s="70"/>
      <c r="BA53" s="70"/>
      <c r="BB53" s="70"/>
      <c r="BC53" s="70"/>
      <c r="BD53" s="70"/>
      <c r="BE53" s="70"/>
      <c r="BF53" s="70"/>
      <c r="BG53" s="70"/>
      <c r="BH53" s="70"/>
      <c r="BI53" s="70"/>
      <c r="BJ53" s="70"/>
      <c r="BK53" s="70"/>
      <c r="BL53" s="70"/>
    </row>
    <row r="54" spans="1:64" x14ac:dyDescent="0.35">
      <c r="A54" s="70"/>
      <c r="B54" s="70"/>
      <c r="C54" s="70"/>
      <c r="D54" s="70"/>
      <c r="E54" s="70"/>
      <c r="F54" s="70"/>
      <c r="G54" s="70"/>
      <c r="H54" s="70"/>
      <c r="I54" s="70"/>
      <c r="J54" s="70"/>
      <c r="K54" s="70"/>
      <c r="L54" s="70"/>
      <c r="M54" s="70"/>
      <c r="N54" s="70"/>
      <c r="O54" s="70"/>
      <c r="P54" s="70"/>
      <c r="Q54" s="70"/>
      <c r="R54" s="70"/>
      <c r="S54" s="70"/>
      <c r="T54" s="70"/>
      <c r="U54" s="70"/>
      <c r="V54" s="70"/>
      <c r="W54" s="70"/>
      <c r="X54" s="70"/>
      <c r="Y54" s="70"/>
      <c r="Z54" s="70"/>
      <c r="AA54" s="70"/>
      <c r="AB54" s="70"/>
      <c r="AC54" s="70"/>
      <c r="AD54" s="70"/>
      <c r="AE54" s="70"/>
      <c r="AF54" s="70"/>
      <c r="AG54" s="70"/>
      <c r="AH54" s="70"/>
      <c r="AI54" s="70"/>
      <c r="AJ54" s="70"/>
      <c r="AK54" s="70"/>
      <c r="AL54" s="70"/>
      <c r="AM54" s="70"/>
      <c r="AN54" s="70"/>
      <c r="AO54" s="70"/>
      <c r="AP54" s="70"/>
      <c r="AQ54" s="70"/>
      <c r="AR54" s="70"/>
      <c r="AS54" s="70"/>
      <c r="AT54" s="70"/>
      <c r="AU54" s="70"/>
      <c r="AV54" s="70"/>
      <c r="AW54" s="70"/>
      <c r="AX54" s="70"/>
      <c r="AY54" s="70"/>
      <c r="AZ54" s="70"/>
      <c r="BA54" s="70"/>
      <c r="BB54" s="70"/>
      <c r="BC54" s="70"/>
      <c r="BD54" s="70"/>
      <c r="BE54" s="70"/>
      <c r="BF54" s="70"/>
      <c r="BG54" s="70"/>
      <c r="BH54" s="70"/>
      <c r="BI54" s="70"/>
      <c r="BJ54" s="70"/>
      <c r="BK54" s="70"/>
      <c r="BL54" s="70"/>
    </row>
    <row r="55" spans="1:64" x14ac:dyDescent="0.35">
      <c r="A55" s="70"/>
      <c r="B55" s="70"/>
      <c r="C55" s="70"/>
      <c r="D55" s="70"/>
      <c r="E55" s="70"/>
      <c r="F55" s="70"/>
      <c r="G55" s="70"/>
      <c r="H55" s="70"/>
      <c r="I55" s="70"/>
      <c r="J55" s="70"/>
      <c r="K55" s="70"/>
      <c r="L55" s="70"/>
      <c r="M55" s="70"/>
      <c r="N55" s="70"/>
      <c r="O55" s="70"/>
      <c r="P55" s="70"/>
      <c r="Q55" s="70"/>
      <c r="R55" s="70"/>
      <c r="S55" s="70"/>
      <c r="T55" s="70"/>
      <c r="U55" s="70"/>
      <c r="V55" s="70"/>
      <c r="W55" s="70"/>
      <c r="X55" s="70"/>
      <c r="Y55" s="70"/>
      <c r="Z55" s="70"/>
      <c r="AA55" s="70"/>
      <c r="AB55" s="70"/>
      <c r="AC55" s="70"/>
      <c r="AD55" s="70"/>
      <c r="AE55" s="70"/>
      <c r="AF55" s="70"/>
      <c r="AG55" s="70"/>
      <c r="AH55" s="70"/>
      <c r="AI55" s="70"/>
      <c r="AJ55" s="70"/>
      <c r="AK55" s="70"/>
      <c r="AL55" s="70"/>
      <c r="AM55" s="70"/>
      <c r="AN55" s="70"/>
      <c r="AO55" s="70"/>
      <c r="AP55" s="70"/>
      <c r="AQ55" s="70"/>
      <c r="AR55" s="70"/>
      <c r="AS55" s="70"/>
      <c r="AT55" s="70"/>
      <c r="AU55" s="70"/>
      <c r="AV55" s="70"/>
      <c r="AW55" s="70"/>
      <c r="AX55" s="70"/>
      <c r="AY55" s="70"/>
      <c r="AZ55" s="70"/>
      <c r="BA55" s="70"/>
      <c r="BB55" s="70"/>
      <c r="BC55" s="70"/>
      <c r="BD55" s="70"/>
      <c r="BE55" s="70"/>
      <c r="BF55" s="70"/>
      <c r="BG55" s="70"/>
      <c r="BH55" s="70"/>
      <c r="BI55" s="70"/>
      <c r="BJ55" s="70"/>
      <c r="BK55" s="70"/>
      <c r="BL55" s="70"/>
    </row>
    <row r="56" spans="1:64" x14ac:dyDescent="0.35">
      <c r="A56" s="70"/>
      <c r="B56" s="70"/>
      <c r="C56" s="70"/>
      <c r="D56" s="70"/>
      <c r="E56" s="70"/>
      <c r="F56" s="70"/>
      <c r="G56" s="70"/>
      <c r="H56" s="70"/>
      <c r="I56" s="70"/>
      <c r="J56" s="70"/>
      <c r="K56" s="70"/>
      <c r="L56" s="70"/>
      <c r="M56" s="70"/>
      <c r="N56" s="70"/>
      <c r="O56" s="70"/>
      <c r="P56" s="70"/>
      <c r="Q56" s="70"/>
      <c r="R56" s="70"/>
      <c r="S56" s="70"/>
      <c r="T56" s="70"/>
      <c r="U56" s="70"/>
      <c r="V56" s="70"/>
      <c r="W56" s="70"/>
      <c r="X56" s="70"/>
      <c r="Y56" s="70"/>
      <c r="Z56" s="70"/>
      <c r="AA56" s="70"/>
      <c r="AB56" s="70"/>
      <c r="AC56" s="70"/>
      <c r="AD56" s="70"/>
      <c r="AE56" s="70"/>
      <c r="AF56" s="70"/>
      <c r="AG56" s="70"/>
      <c r="AH56" s="70"/>
      <c r="AI56" s="70"/>
      <c r="AJ56" s="70"/>
      <c r="AK56" s="70"/>
      <c r="AL56" s="70"/>
      <c r="AM56" s="70"/>
      <c r="AN56" s="70"/>
      <c r="AO56" s="70"/>
      <c r="AP56" s="70"/>
      <c r="AQ56" s="70"/>
      <c r="AR56" s="70"/>
      <c r="AS56" s="70"/>
      <c r="AT56" s="70"/>
      <c r="AU56" s="70"/>
      <c r="AV56" s="70"/>
      <c r="AW56" s="70"/>
      <c r="AX56" s="70"/>
      <c r="AY56" s="70"/>
      <c r="AZ56" s="70"/>
      <c r="BA56" s="70"/>
      <c r="BB56" s="70"/>
      <c r="BC56" s="70"/>
      <c r="BD56" s="70"/>
      <c r="BE56" s="70"/>
      <c r="BF56" s="70"/>
      <c r="BG56" s="70"/>
      <c r="BH56" s="70"/>
      <c r="BI56" s="70"/>
      <c r="BJ56" s="70"/>
      <c r="BK56" s="70"/>
      <c r="BL56" s="70"/>
    </row>
    <row r="57" spans="1:64" x14ac:dyDescent="0.35">
      <c r="A57" s="70"/>
      <c r="B57" s="70"/>
      <c r="C57" s="70"/>
      <c r="D57" s="70"/>
      <c r="E57" s="70"/>
      <c r="F57" s="70"/>
      <c r="G57" s="70"/>
      <c r="H57" s="70"/>
      <c r="I57" s="70"/>
      <c r="J57" s="70"/>
      <c r="K57" s="70"/>
      <c r="L57" s="70"/>
      <c r="M57" s="70"/>
      <c r="N57" s="70"/>
      <c r="O57" s="70"/>
      <c r="P57" s="70"/>
      <c r="Q57" s="70"/>
      <c r="R57" s="70"/>
      <c r="S57" s="70"/>
      <c r="T57" s="70"/>
      <c r="U57" s="70"/>
      <c r="V57" s="70"/>
      <c r="W57" s="70"/>
      <c r="X57" s="70"/>
      <c r="Y57" s="70"/>
      <c r="Z57" s="70"/>
      <c r="AA57" s="70"/>
      <c r="AB57" s="70"/>
      <c r="AC57" s="70"/>
      <c r="AD57" s="70"/>
      <c r="AE57" s="70"/>
      <c r="AF57" s="70"/>
      <c r="AG57" s="70"/>
      <c r="AH57" s="70"/>
      <c r="AI57" s="70"/>
      <c r="AJ57" s="70"/>
      <c r="AK57" s="70"/>
      <c r="AL57" s="70"/>
      <c r="AM57" s="70"/>
      <c r="AN57" s="70"/>
      <c r="AO57" s="70"/>
      <c r="AP57" s="70"/>
      <c r="AQ57" s="70"/>
      <c r="AR57" s="70"/>
      <c r="AS57" s="70"/>
      <c r="AT57" s="70"/>
      <c r="AU57" s="70"/>
      <c r="AV57" s="70"/>
      <c r="AW57" s="70"/>
      <c r="AX57" s="70"/>
      <c r="AY57" s="70"/>
      <c r="AZ57" s="70"/>
      <c r="BA57" s="70"/>
      <c r="BB57" s="70"/>
      <c r="BC57" s="70"/>
      <c r="BD57" s="70"/>
      <c r="BE57" s="70"/>
      <c r="BF57" s="70"/>
      <c r="BG57" s="70"/>
      <c r="BH57" s="70"/>
      <c r="BI57" s="70"/>
      <c r="BJ57" s="70"/>
      <c r="BK57" s="70"/>
      <c r="BL57" s="70"/>
    </row>
    <row r="58" spans="1:64" x14ac:dyDescent="0.35">
      <c r="A58" s="70"/>
      <c r="B58" s="70"/>
      <c r="C58" s="70"/>
      <c r="D58" s="70"/>
      <c r="E58" s="70"/>
      <c r="F58" s="70"/>
      <c r="G58" s="70"/>
      <c r="H58" s="70"/>
      <c r="I58" s="70"/>
      <c r="J58" s="70"/>
      <c r="K58" s="70"/>
      <c r="L58" s="70"/>
      <c r="M58" s="70"/>
      <c r="N58" s="70"/>
      <c r="O58" s="70"/>
      <c r="P58" s="70"/>
      <c r="Q58" s="70"/>
      <c r="R58" s="70"/>
      <c r="S58" s="70"/>
      <c r="T58" s="70"/>
      <c r="U58" s="70"/>
      <c r="V58" s="70"/>
      <c r="W58" s="70"/>
      <c r="X58" s="70"/>
      <c r="Y58" s="70"/>
      <c r="Z58" s="70"/>
      <c r="AA58" s="70"/>
      <c r="AB58" s="70"/>
      <c r="AC58" s="70"/>
      <c r="AD58" s="70"/>
      <c r="AE58" s="70"/>
      <c r="AF58" s="70"/>
      <c r="AG58" s="70"/>
      <c r="AH58" s="70"/>
      <c r="AI58" s="70"/>
      <c r="AJ58" s="70"/>
      <c r="AK58" s="70"/>
      <c r="AL58" s="70"/>
      <c r="AM58" s="70"/>
      <c r="AN58" s="70"/>
      <c r="AO58" s="70"/>
      <c r="AP58" s="70"/>
      <c r="AQ58" s="70"/>
      <c r="AR58" s="70"/>
      <c r="AS58" s="70"/>
      <c r="AT58" s="70"/>
      <c r="AU58" s="70"/>
      <c r="AV58" s="70"/>
      <c r="AW58" s="70"/>
      <c r="AX58" s="70"/>
      <c r="AY58" s="70"/>
      <c r="AZ58" s="70"/>
      <c r="BA58" s="70"/>
      <c r="BB58" s="70"/>
      <c r="BC58" s="70"/>
      <c r="BD58" s="70"/>
      <c r="BE58" s="70"/>
      <c r="BF58" s="70"/>
      <c r="BG58" s="70"/>
      <c r="BH58" s="70"/>
      <c r="BI58" s="70"/>
      <c r="BJ58" s="70"/>
      <c r="BK58" s="70"/>
      <c r="BL58" s="70"/>
    </row>
    <row r="59" spans="1:64" x14ac:dyDescent="0.35">
      <c r="A59" s="70"/>
      <c r="B59" s="70"/>
      <c r="C59" s="70"/>
      <c r="D59" s="70"/>
      <c r="E59" s="70"/>
      <c r="F59" s="70"/>
      <c r="G59" s="70"/>
      <c r="H59" s="70"/>
      <c r="I59" s="70"/>
      <c r="J59" s="70"/>
      <c r="K59" s="70"/>
      <c r="L59" s="70"/>
      <c r="M59" s="70"/>
      <c r="N59" s="70"/>
      <c r="O59" s="70"/>
      <c r="P59" s="70"/>
      <c r="Q59" s="70"/>
      <c r="R59" s="70"/>
      <c r="S59" s="70"/>
      <c r="T59" s="70"/>
      <c r="U59" s="70"/>
      <c r="V59" s="70"/>
      <c r="W59" s="70"/>
      <c r="X59" s="70"/>
      <c r="Y59" s="70"/>
      <c r="Z59" s="70"/>
      <c r="AA59" s="70"/>
      <c r="AB59" s="70"/>
      <c r="AC59" s="70"/>
      <c r="AD59" s="70"/>
      <c r="AE59" s="70"/>
      <c r="AF59" s="70"/>
      <c r="AG59" s="70"/>
      <c r="AH59" s="70"/>
      <c r="AI59" s="70"/>
      <c r="AJ59" s="70"/>
      <c r="AK59" s="70"/>
      <c r="AL59" s="70"/>
      <c r="AM59" s="70"/>
      <c r="AN59" s="70"/>
      <c r="AO59" s="70"/>
      <c r="AP59" s="70"/>
      <c r="AQ59" s="70"/>
      <c r="AR59" s="70"/>
      <c r="AS59" s="70"/>
      <c r="AT59" s="70"/>
      <c r="AU59" s="70"/>
      <c r="AV59" s="70"/>
      <c r="AW59" s="70"/>
      <c r="AX59" s="70"/>
      <c r="AY59" s="70"/>
      <c r="AZ59" s="70"/>
      <c r="BA59" s="70"/>
      <c r="BB59" s="70"/>
      <c r="BC59" s="70"/>
      <c r="BD59" s="70"/>
      <c r="BE59" s="70"/>
      <c r="BF59" s="70"/>
      <c r="BG59" s="70"/>
      <c r="BH59" s="70"/>
      <c r="BI59" s="70"/>
      <c r="BJ59" s="70"/>
      <c r="BK59" s="70"/>
      <c r="BL59" s="70"/>
    </row>
    <row r="60" spans="1:64" x14ac:dyDescent="0.35">
      <c r="A60" s="70"/>
      <c r="B60" s="70"/>
      <c r="C60" s="70"/>
      <c r="D60" s="70"/>
      <c r="E60" s="70"/>
      <c r="F60" s="70"/>
      <c r="G60" s="70"/>
      <c r="H60" s="70"/>
      <c r="I60" s="70"/>
      <c r="J60" s="70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0"/>
      <c r="AA60" s="70"/>
      <c r="AB60" s="70"/>
      <c r="AC60" s="70"/>
      <c r="AD60" s="70"/>
      <c r="AE60" s="70"/>
      <c r="AF60" s="70"/>
      <c r="AG60" s="70"/>
      <c r="AH60" s="70"/>
      <c r="AI60" s="70"/>
      <c r="AJ60" s="70"/>
      <c r="AK60" s="70"/>
      <c r="AL60" s="70"/>
      <c r="AM60" s="70"/>
      <c r="AN60" s="70"/>
      <c r="AO60" s="70"/>
      <c r="AP60" s="70"/>
      <c r="AQ60" s="70"/>
      <c r="AR60" s="70"/>
      <c r="AS60" s="70"/>
      <c r="AT60" s="70"/>
      <c r="AU60" s="70"/>
      <c r="AV60" s="70"/>
      <c r="AW60" s="70"/>
      <c r="AX60" s="70"/>
      <c r="AY60" s="70"/>
      <c r="AZ60" s="70"/>
      <c r="BA60" s="70"/>
      <c r="BB60" s="70"/>
      <c r="BC60" s="70"/>
      <c r="BD60" s="70"/>
      <c r="BE60" s="70"/>
      <c r="BF60" s="70"/>
      <c r="BG60" s="70"/>
      <c r="BH60" s="70"/>
      <c r="BI60" s="70"/>
      <c r="BJ60" s="70"/>
      <c r="BK60" s="70"/>
      <c r="BL60" s="70"/>
    </row>
    <row r="61" spans="1:64" x14ac:dyDescent="0.35">
      <c r="A61" s="70"/>
      <c r="B61" s="70"/>
      <c r="C61" s="70"/>
      <c r="D61" s="70"/>
      <c r="E61" s="70"/>
      <c r="F61" s="70"/>
      <c r="G61" s="70"/>
      <c r="H61" s="70"/>
      <c r="I61" s="70"/>
      <c r="J61" s="70"/>
      <c r="K61" s="70"/>
      <c r="L61" s="70"/>
      <c r="M61" s="70"/>
      <c r="N61" s="70"/>
      <c r="O61" s="70"/>
      <c r="P61" s="70"/>
      <c r="Q61" s="70"/>
      <c r="R61" s="70"/>
      <c r="S61" s="70"/>
      <c r="T61" s="70"/>
      <c r="U61" s="70"/>
      <c r="V61" s="70"/>
      <c r="W61" s="70"/>
      <c r="X61" s="70"/>
      <c r="Y61" s="70"/>
      <c r="Z61" s="70"/>
      <c r="AA61" s="70"/>
      <c r="AB61" s="70"/>
      <c r="AC61" s="70"/>
      <c r="AD61" s="70"/>
      <c r="AE61" s="70"/>
      <c r="AF61" s="70"/>
      <c r="AG61" s="70"/>
      <c r="AH61" s="70"/>
      <c r="AI61" s="70"/>
      <c r="AJ61" s="70"/>
      <c r="AK61" s="70"/>
      <c r="AL61" s="70"/>
      <c r="AM61" s="70"/>
      <c r="AN61" s="70"/>
      <c r="AO61" s="70"/>
      <c r="AP61" s="70"/>
      <c r="AQ61" s="70"/>
      <c r="AR61" s="70"/>
      <c r="AS61" s="70"/>
      <c r="AT61" s="70"/>
      <c r="AU61" s="70"/>
      <c r="AV61" s="70"/>
      <c r="AW61" s="70"/>
      <c r="AX61" s="70"/>
      <c r="AY61" s="70"/>
      <c r="AZ61" s="70"/>
      <c r="BA61" s="70"/>
      <c r="BB61" s="70"/>
      <c r="BC61" s="70"/>
      <c r="BD61" s="70"/>
      <c r="BE61" s="70"/>
      <c r="BF61" s="70"/>
      <c r="BG61" s="70"/>
      <c r="BH61" s="70"/>
      <c r="BI61" s="70"/>
      <c r="BJ61" s="70"/>
      <c r="BK61" s="70"/>
      <c r="BL61" s="70"/>
    </row>
    <row r="62" spans="1:64" x14ac:dyDescent="0.35">
      <c r="A62" s="70"/>
      <c r="B62" s="70"/>
      <c r="C62" s="70"/>
      <c r="D62" s="70"/>
      <c r="E62" s="70"/>
      <c r="F62" s="70"/>
      <c r="G62" s="70"/>
      <c r="H62" s="70"/>
      <c r="I62" s="70"/>
      <c r="J62" s="70"/>
      <c r="K62" s="70"/>
      <c r="L62" s="70"/>
      <c r="M62" s="70"/>
      <c r="N62" s="70"/>
      <c r="O62" s="70"/>
      <c r="P62" s="70"/>
      <c r="Q62" s="70"/>
      <c r="R62" s="70"/>
      <c r="S62" s="70"/>
      <c r="T62" s="70"/>
      <c r="U62" s="70"/>
      <c r="V62" s="70"/>
      <c r="W62" s="70"/>
      <c r="X62" s="70"/>
      <c r="Y62" s="70"/>
      <c r="Z62" s="70"/>
      <c r="AA62" s="70"/>
      <c r="AB62" s="70"/>
      <c r="AC62" s="70"/>
      <c r="AD62" s="70"/>
      <c r="AE62" s="70"/>
      <c r="AF62" s="70"/>
      <c r="AG62" s="70"/>
      <c r="AH62" s="70"/>
      <c r="AI62" s="70"/>
      <c r="AJ62" s="70"/>
      <c r="AK62" s="70"/>
      <c r="AL62" s="70"/>
      <c r="AM62" s="70"/>
      <c r="AN62" s="70"/>
      <c r="AO62" s="70"/>
      <c r="AP62" s="70"/>
      <c r="AQ62" s="70"/>
      <c r="AR62" s="70"/>
      <c r="AS62" s="70"/>
      <c r="AT62" s="70"/>
      <c r="AU62" s="70"/>
      <c r="AV62" s="70"/>
      <c r="AW62" s="70"/>
      <c r="AX62" s="70"/>
      <c r="AY62" s="70"/>
      <c r="AZ62" s="70"/>
      <c r="BA62" s="70"/>
      <c r="BB62" s="70"/>
      <c r="BC62" s="70"/>
      <c r="BD62" s="70"/>
      <c r="BE62" s="70"/>
      <c r="BF62" s="70"/>
      <c r="BG62" s="70"/>
      <c r="BH62" s="70"/>
      <c r="BI62" s="70"/>
      <c r="BJ62" s="70"/>
      <c r="BK62" s="70"/>
      <c r="BL62" s="70"/>
    </row>
    <row r="63" spans="1:64" x14ac:dyDescent="0.35">
      <c r="A63" s="70"/>
      <c r="B63" s="70"/>
      <c r="C63" s="70"/>
      <c r="D63" s="70"/>
      <c r="E63" s="70"/>
      <c r="F63" s="70"/>
      <c r="G63" s="70"/>
      <c r="H63" s="70"/>
      <c r="I63" s="70"/>
      <c r="J63" s="70"/>
      <c r="K63" s="70"/>
      <c r="L63" s="70"/>
      <c r="M63" s="70"/>
      <c r="N63" s="70"/>
      <c r="O63" s="70"/>
      <c r="P63" s="70"/>
      <c r="Q63" s="70"/>
      <c r="R63" s="70"/>
      <c r="S63" s="70"/>
      <c r="T63" s="70"/>
      <c r="U63" s="70"/>
      <c r="V63" s="70"/>
      <c r="W63" s="70"/>
      <c r="X63" s="70"/>
      <c r="Y63" s="70"/>
      <c r="Z63" s="70"/>
      <c r="AA63" s="70"/>
      <c r="AB63" s="70"/>
      <c r="AC63" s="70"/>
      <c r="AD63" s="70"/>
      <c r="AE63" s="70"/>
      <c r="AF63" s="70"/>
      <c r="AG63" s="70"/>
      <c r="AH63" s="70"/>
      <c r="AI63" s="70"/>
      <c r="AJ63" s="70"/>
      <c r="AK63" s="70"/>
      <c r="AL63" s="70"/>
      <c r="AM63" s="70"/>
      <c r="AN63" s="70"/>
      <c r="AO63" s="70"/>
      <c r="AP63" s="70"/>
      <c r="AQ63" s="70"/>
      <c r="AR63" s="70"/>
      <c r="AS63" s="70"/>
      <c r="AT63" s="70"/>
      <c r="AU63" s="70"/>
      <c r="AV63" s="70"/>
      <c r="AW63" s="70"/>
      <c r="AX63" s="70"/>
      <c r="AY63" s="70"/>
      <c r="AZ63" s="70"/>
      <c r="BA63" s="70"/>
      <c r="BB63" s="70"/>
      <c r="BC63" s="70"/>
      <c r="BD63" s="70"/>
      <c r="BE63" s="70"/>
      <c r="BF63" s="70"/>
      <c r="BG63" s="70"/>
      <c r="BH63" s="70"/>
      <c r="BI63" s="70"/>
      <c r="BJ63" s="70"/>
      <c r="BK63" s="70"/>
      <c r="BL63" s="70"/>
    </row>
    <row r="64" spans="1:64" x14ac:dyDescent="0.35">
      <c r="A64" s="70"/>
      <c r="B64" s="70"/>
      <c r="C64" s="70"/>
      <c r="D64" s="70"/>
      <c r="E64" s="70"/>
      <c r="F64" s="70"/>
      <c r="G64" s="70"/>
      <c r="H64" s="70"/>
      <c r="I64" s="70"/>
      <c r="J64" s="70"/>
      <c r="K64" s="70"/>
      <c r="L64" s="70"/>
      <c r="M64" s="70"/>
      <c r="N64" s="70"/>
      <c r="O64" s="70"/>
      <c r="P64" s="70"/>
      <c r="Q64" s="70"/>
      <c r="R64" s="70"/>
      <c r="S64" s="70"/>
      <c r="T64" s="70"/>
      <c r="U64" s="70"/>
      <c r="V64" s="70"/>
      <c r="W64" s="70"/>
      <c r="X64" s="70"/>
      <c r="Y64" s="70"/>
      <c r="Z64" s="70"/>
      <c r="AA64" s="70"/>
      <c r="AB64" s="70"/>
      <c r="AC64" s="70"/>
      <c r="AD64" s="70"/>
      <c r="AE64" s="70"/>
      <c r="AF64" s="70"/>
      <c r="AG64" s="70"/>
      <c r="AH64" s="70"/>
      <c r="AI64" s="70"/>
      <c r="AJ64" s="70"/>
      <c r="AK64" s="70"/>
      <c r="AL64" s="70"/>
      <c r="AM64" s="70"/>
      <c r="AN64" s="70"/>
      <c r="AO64" s="70"/>
      <c r="AP64" s="70"/>
      <c r="AQ64" s="70"/>
      <c r="AR64" s="70"/>
      <c r="AS64" s="70"/>
      <c r="AT64" s="70"/>
      <c r="AU64" s="70"/>
      <c r="AV64" s="70"/>
      <c r="AW64" s="70"/>
      <c r="AX64" s="70"/>
      <c r="AY64" s="70"/>
      <c r="AZ64" s="70"/>
      <c r="BA64" s="70"/>
      <c r="BB64" s="70"/>
      <c r="BC64" s="70"/>
      <c r="BD64" s="70"/>
      <c r="BE64" s="70"/>
      <c r="BF64" s="70"/>
      <c r="BG64" s="70"/>
      <c r="BH64" s="70"/>
      <c r="BI64" s="70"/>
      <c r="BJ64" s="70"/>
      <c r="BK64" s="70"/>
      <c r="BL64" s="70"/>
    </row>
  </sheetData>
  <mergeCells count="1">
    <mergeCell ref="Y19:AI19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03E1A9-21DA-4B2C-B9FC-86F256540F0D}">
  <dimension ref="A1:V81"/>
  <sheetViews>
    <sheetView showGridLines="0" topLeftCell="B13" zoomScale="80" zoomScaleNormal="80" workbookViewId="0">
      <selection activeCell="B30" sqref="B30:D32"/>
    </sheetView>
  </sheetViews>
  <sheetFormatPr defaultColWidth="9.1796875" defaultRowHeight="14.5" x14ac:dyDescent="0.35"/>
  <cols>
    <col min="1" max="1" width="21" style="70" bestFit="1" customWidth="1"/>
    <col min="2" max="2" width="112" style="70" bestFit="1" customWidth="1"/>
    <col min="3" max="3" width="17.1796875" style="70" customWidth="1"/>
    <col min="4" max="4" width="30.81640625" style="70" customWidth="1"/>
    <col min="5" max="5" width="21.81640625" style="70" customWidth="1"/>
    <col min="6" max="6" width="19" style="70" customWidth="1"/>
    <col min="7" max="7" width="21.81640625" style="70" customWidth="1"/>
    <col min="8" max="8" width="18.453125" style="70" customWidth="1"/>
    <col min="9" max="9" width="16" style="70" customWidth="1"/>
    <col min="10" max="10" width="28.54296875" style="70" customWidth="1"/>
    <col min="11" max="11" width="23.1796875" style="70" customWidth="1"/>
    <col min="12" max="12" width="117.453125" style="70" bestFit="1" customWidth="1"/>
    <col min="13" max="13" width="16.81640625" style="70" customWidth="1"/>
    <col min="14" max="14" width="17.1796875" style="70" customWidth="1"/>
    <col min="15" max="240" width="9.1796875" style="70"/>
    <col min="241" max="241" width="11.453125" style="70" customWidth="1"/>
    <col min="242" max="242" width="53" style="70" customWidth="1"/>
    <col min="243" max="243" width="20.54296875" style="70" customWidth="1"/>
    <col min="244" max="244" width="18.54296875" style="70" customWidth="1"/>
    <col min="245" max="245" width="19.453125" style="70" customWidth="1"/>
    <col min="246" max="246" width="20.54296875" style="70" customWidth="1"/>
    <col min="247" max="247" width="24.1796875" style="70" customWidth="1"/>
    <col min="248" max="249" width="20.54296875" style="70" customWidth="1"/>
    <col min="250" max="250" width="17.1796875" style="70" customWidth="1"/>
    <col min="251" max="251" width="14.54296875" style="70" customWidth="1"/>
    <col min="252" max="252" width="13.1796875" style="70" customWidth="1"/>
    <col min="253" max="253" width="20" style="70" customWidth="1"/>
    <col min="254" max="254" width="15.81640625" style="70" customWidth="1"/>
    <col min="255" max="255" width="14.453125" style="70" customWidth="1"/>
    <col min="256" max="256" width="17.453125" style="70" customWidth="1"/>
    <col min="257" max="257" width="14.453125" style="70" customWidth="1"/>
    <col min="258" max="258" width="18.453125" style="70" customWidth="1"/>
    <col min="259" max="259" width="15.453125" style="70" customWidth="1"/>
    <col min="260" max="496" width="9.1796875" style="70"/>
    <col min="497" max="497" width="11.453125" style="70" customWidth="1"/>
    <col min="498" max="498" width="53" style="70" customWidth="1"/>
    <col min="499" max="499" width="20.54296875" style="70" customWidth="1"/>
    <col min="500" max="500" width="18.54296875" style="70" customWidth="1"/>
    <col min="501" max="501" width="19.453125" style="70" customWidth="1"/>
    <col min="502" max="502" width="20.54296875" style="70" customWidth="1"/>
    <col min="503" max="503" width="24.1796875" style="70" customWidth="1"/>
    <col min="504" max="505" width="20.54296875" style="70" customWidth="1"/>
    <col min="506" max="506" width="17.1796875" style="70" customWidth="1"/>
    <col min="507" max="507" width="14.54296875" style="70" customWidth="1"/>
    <col min="508" max="508" width="13.1796875" style="70" customWidth="1"/>
    <col min="509" max="509" width="20" style="70" customWidth="1"/>
    <col min="510" max="510" width="15.81640625" style="70" customWidth="1"/>
    <col min="511" max="511" width="14.453125" style="70" customWidth="1"/>
    <col min="512" max="512" width="17.453125" style="70" customWidth="1"/>
    <col min="513" max="513" width="14.453125" style="70" customWidth="1"/>
    <col min="514" max="514" width="18.453125" style="70" customWidth="1"/>
    <col min="515" max="515" width="15.453125" style="70" customWidth="1"/>
    <col min="516" max="752" width="9.1796875" style="70"/>
    <col min="753" max="753" width="11.453125" style="70" customWidth="1"/>
    <col min="754" max="754" width="53" style="70" customWidth="1"/>
    <col min="755" max="755" width="20.54296875" style="70" customWidth="1"/>
    <col min="756" max="756" width="18.54296875" style="70" customWidth="1"/>
    <col min="757" max="757" width="19.453125" style="70" customWidth="1"/>
    <col min="758" max="758" width="20.54296875" style="70" customWidth="1"/>
    <col min="759" max="759" width="24.1796875" style="70" customWidth="1"/>
    <col min="760" max="761" width="20.54296875" style="70" customWidth="1"/>
    <col min="762" max="762" width="17.1796875" style="70" customWidth="1"/>
    <col min="763" max="763" width="14.54296875" style="70" customWidth="1"/>
    <col min="764" max="764" width="13.1796875" style="70" customWidth="1"/>
    <col min="765" max="765" width="20" style="70" customWidth="1"/>
    <col min="766" max="766" width="15.81640625" style="70" customWidth="1"/>
    <col min="767" max="767" width="14.453125" style="70" customWidth="1"/>
    <col min="768" max="768" width="17.453125" style="70" customWidth="1"/>
    <col min="769" max="769" width="14.453125" style="70" customWidth="1"/>
    <col min="770" max="770" width="18.453125" style="70" customWidth="1"/>
    <col min="771" max="771" width="15.453125" style="70" customWidth="1"/>
    <col min="772" max="1008" width="9.1796875" style="70"/>
    <col min="1009" max="1009" width="11.453125" style="70" customWidth="1"/>
    <col min="1010" max="1010" width="53" style="70" customWidth="1"/>
    <col min="1011" max="1011" width="20.54296875" style="70" customWidth="1"/>
    <col min="1012" max="1012" width="18.54296875" style="70" customWidth="1"/>
    <col min="1013" max="1013" width="19.453125" style="70" customWidth="1"/>
    <col min="1014" max="1014" width="20.54296875" style="70" customWidth="1"/>
    <col min="1015" max="1015" width="24.1796875" style="70" customWidth="1"/>
    <col min="1016" max="1017" width="20.54296875" style="70" customWidth="1"/>
    <col min="1018" max="1018" width="17.1796875" style="70" customWidth="1"/>
    <col min="1019" max="1019" width="14.54296875" style="70" customWidth="1"/>
    <col min="1020" max="1020" width="13.1796875" style="70" customWidth="1"/>
    <col min="1021" max="1021" width="20" style="70" customWidth="1"/>
    <col min="1022" max="1022" width="15.81640625" style="70" customWidth="1"/>
    <col min="1023" max="1023" width="14.453125" style="70" customWidth="1"/>
    <col min="1024" max="1024" width="17.453125" style="70" customWidth="1"/>
    <col min="1025" max="1025" width="14.453125" style="70" customWidth="1"/>
    <col min="1026" max="1026" width="18.453125" style="70" customWidth="1"/>
    <col min="1027" max="1027" width="15.453125" style="70" customWidth="1"/>
    <col min="1028" max="1264" width="9.1796875" style="70"/>
    <col min="1265" max="1265" width="11.453125" style="70" customWidth="1"/>
    <col min="1266" max="1266" width="53" style="70" customWidth="1"/>
    <col min="1267" max="1267" width="20.54296875" style="70" customWidth="1"/>
    <col min="1268" max="1268" width="18.54296875" style="70" customWidth="1"/>
    <col min="1269" max="1269" width="19.453125" style="70" customWidth="1"/>
    <col min="1270" max="1270" width="20.54296875" style="70" customWidth="1"/>
    <col min="1271" max="1271" width="24.1796875" style="70" customWidth="1"/>
    <col min="1272" max="1273" width="20.54296875" style="70" customWidth="1"/>
    <col min="1274" max="1274" width="17.1796875" style="70" customWidth="1"/>
    <col min="1275" max="1275" width="14.54296875" style="70" customWidth="1"/>
    <col min="1276" max="1276" width="13.1796875" style="70" customWidth="1"/>
    <col min="1277" max="1277" width="20" style="70" customWidth="1"/>
    <col min="1278" max="1278" width="15.81640625" style="70" customWidth="1"/>
    <col min="1279" max="1279" width="14.453125" style="70" customWidth="1"/>
    <col min="1280" max="1280" width="17.453125" style="70" customWidth="1"/>
    <col min="1281" max="1281" width="14.453125" style="70" customWidth="1"/>
    <col min="1282" max="1282" width="18.453125" style="70" customWidth="1"/>
    <col min="1283" max="1283" width="15.453125" style="70" customWidth="1"/>
    <col min="1284" max="1520" width="9.1796875" style="70"/>
    <col min="1521" max="1521" width="11.453125" style="70" customWidth="1"/>
    <col min="1522" max="1522" width="53" style="70" customWidth="1"/>
    <col min="1523" max="1523" width="20.54296875" style="70" customWidth="1"/>
    <col min="1524" max="1524" width="18.54296875" style="70" customWidth="1"/>
    <col min="1525" max="1525" width="19.453125" style="70" customWidth="1"/>
    <col min="1526" max="1526" width="20.54296875" style="70" customWidth="1"/>
    <col min="1527" max="1527" width="24.1796875" style="70" customWidth="1"/>
    <col min="1528" max="1529" width="20.54296875" style="70" customWidth="1"/>
    <col min="1530" max="1530" width="17.1796875" style="70" customWidth="1"/>
    <col min="1531" max="1531" width="14.54296875" style="70" customWidth="1"/>
    <col min="1532" max="1532" width="13.1796875" style="70" customWidth="1"/>
    <col min="1533" max="1533" width="20" style="70" customWidth="1"/>
    <col min="1534" max="1534" width="15.81640625" style="70" customWidth="1"/>
    <col min="1535" max="1535" width="14.453125" style="70" customWidth="1"/>
    <col min="1536" max="1536" width="17.453125" style="70" customWidth="1"/>
    <col min="1537" max="1537" width="14.453125" style="70" customWidth="1"/>
    <col min="1538" max="1538" width="18.453125" style="70" customWidth="1"/>
    <col min="1539" max="1539" width="15.453125" style="70" customWidth="1"/>
    <col min="1540" max="1776" width="9.1796875" style="70"/>
    <col min="1777" max="1777" width="11.453125" style="70" customWidth="1"/>
    <col min="1778" max="1778" width="53" style="70" customWidth="1"/>
    <col min="1779" max="1779" width="20.54296875" style="70" customWidth="1"/>
    <col min="1780" max="1780" width="18.54296875" style="70" customWidth="1"/>
    <col min="1781" max="1781" width="19.453125" style="70" customWidth="1"/>
    <col min="1782" max="1782" width="20.54296875" style="70" customWidth="1"/>
    <col min="1783" max="1783" width="24.1796875" style="70" customWidth="1"/>
    <col min="1784" max="1785" width="20.54296875" style="70" customWidth="1"/>
    <col min="1786" max="1786" width="17.1796875" style="70" customWidth="1"/>
    <col min="1787" max="1787" width="14.54296875" style="70" customWidth="1"/>
    <col min="1788" max="1788" width="13.1796875" style="70" customWidth="1"/>
    <col min="1789" max="1789" width="20" style="70" customWidth="1"/>
    <col min="1790" max="1790" width="15.81640625" style="70" customWidth="1"/>
    <col min="1791" max="1791" width="14.453125" style="70" customWidth="1"/>
    <col min="1792" max="1792" width="17.453125" style="70" customWidth="1"/>
    <col min="1793" max="1793" width="14.453125" style="70" customWidth="1"/>
    <col min="1794" max="1794" width="18.453125" style="70" customWidth="1"/>
    <col min="1795" max="1795" width="15.453125" style="70" customWidth="1"/>
    <col min="1796" max="2032" width="9.1796875" style="70"/>
    <col min="2033" max="2033" width="11.453125" style="70" customWidth="1"/>
    <col min="2034" max="2034" width="53" style="70" customWidth="1"/>
    <col min="2035" max="2035" width="20.54296875" style="70" customWidth="1"/>
    <col min="2036" max="2036" width="18.54296875" style="70" customWidth="1"/>
    <col min="2037" max="2037" width="19.453125" style="70" customWidth="1"/>
    <col min="2038" max="2038" width="20.54296875" style="70" customWidth="1"/>
    <col min="2039" max="2039" width="24.1796875" style="70" customWidth="1"/>
    <col min="2040" max="2041" width="20.54296875" style="70" customWidth="1"/>
    <col min="2042" max="2042" width="17.1796875" style="70" customWidth="1"/>
    <col min="2043" max="2043" width="14.54296875" style="70" customWidth="1"/>
    <col min="2044" max="2044" width="13.1796875" style="70" customWidth="1"/>
    <col min="2045" max="2045" width="20" style="70" customWidth="1"/>
    <col min="2046" max="2046" width="15.81640625" style="70" customWidth="1"/>
    <col min="2047" max="2047" width="14.453125" style="70" customWidth="1"/>
    <col min="2048" max="2048" width="17.453125" style="70" customWidth="1"/>
    <col min="2049" max="2049" width="14.453125" style="70" customWidth="1"/>
    <col min="2050" max="2050" width="18.453125" style="70" customWidth="1"/>
    <col min="2051" max="2051" width="15.453125" style="70" customWidth="1"/>
    <col min="2052" max="2288" width="9.1796875" style="70"/>
    <col min="2289" max="2289" width="11.453125" style="70" customWidth="1"/>
    <col min="2290" max="2290" width="53" style="70" customWidth="1"/>
    <col min="2291" max="2291" width="20.54296875" style="70" customWidth="1"/>
    <col min="2292" max="2292" width="18.54296875" style="70" customWidth="1"/>
    <col min="2293" max="2293" width="19.453125" style="70" customWidth="1"/>
    <col min="2294" max="2294" width="20.54296875" style="70" customWidth="1"/>
    <col min="2295" max="2295" width="24.1796875" style="70" customWidth="1"/>
    <col min="2296" max="2297" width="20.54296875" style="70" customWidth="1"/>
    <col min="2298" max="2298" width="17.1796875" style="70" customWidth="1"/>
    <col min="2299" max="2299" width="14.54296875" style="70" customWidth="1"/>
    <col min="2300" max="2300" width="13.1796875" style="70" customWidth="1"/>
    <col min="2301" max="2301" width="20" style="70" customWidth="1"/>
    <col min="2302" max="2302" width="15.81640625" style="70" customWidth="1"/>
    <col min="2303" max="2303" width="14.453125" style="70" customWidth="1"/>
    <col min="2304" max="2304" width="17.453125" style="70" customWidth="1"/>
    <col min="2305" max="2305" width="14.453125" style="70" customWidth="1"/>
    <col min="2306" max="2306" width="18.453125" style="70" customWidth="1"/>
    <col min="2307" max="2307" width="15.453125" style="70" customWidth="1"/>
    <col min="2308" max="2544" width="9.1796875" style="70"/>
    <col min="2545" max="2545" width="11.453125" style="70" customWidth="1"/>
    <col min="2546" max="2546" width="53" style="70" customWidth="1"/>
    <col min="2547" max="2547" width="20.54296875" style="70" customWidth="1"/>
    <col min="2548" max="2548" width="18.54296875" style="70" customWidth="1"/>
    <col min="2549" max="2549" width="19.453125" style="70" customWidth="1"/>
    <col min="2550" max="2550" width="20.54296875" style="70" customWidth="1"/>
    <col min="2551" max="2551" width="24.1796875" style="70" customWidth="1"/>
    <col min="2552" max="2553" width="20.54296875" style="70" customWidth="1"/>
    <col min="2554" max="2554" width="17.1796875" style="70" customWidth="1"/>
    <col min="2555" max="2555" width="14.54296875" style="70" customWidth="1"/>
    <col min="2556" max="2556" width="13.1796875" style="70" customWidth="1"/>
    <col min="2557" max="2557" width="20" style="70" customWidth="1"/>
    <col min="2558" max="2558" width="15.81640625" style="70" customWidth="1"/>
    <col min="2559" max="2559" width="14.453125" style="70" customWidth="1"/>
    <col min="2560" max="2560" width="17.453125" style="70" customWidth="1"/>
    <col min="2561" max="2561" width="14.453125" style="70" customWidth="1"/>
    <col min="2562" max="2562" width="18.453125" style="70" customWidth="1"/>
    <col min="2563" max="2563" width="15.453125" style="70" customWidth="1"/>
    <col min="2564" max="2800" width="9.1796875" style="70"/>
    <col min="2801" max="2801" width="11.453125" style="70" customWidth="1"/>
    <col min="2802" max="2802" width="53" style="70" customWidth="1"/>
    <col min="2803" max="2803" width="20.54296875" style="70" customWidth="1"/>
    <col min="2804" max="2804" width="18.54296875" style="70" customWidth="1"/>
    <col min="2805" max="2805" width="19.453125" style="70" customWidth="1"/>
    <col min="2806" max="2806" width="20.54296875" style="70" customWidth="1"/>
    <col min="2807" max="2807" width="24.1796875" style="70" customWidth="1"/>
    <col min="2808" max="2809" width="20.54296875" style="70" customWidth="1"/>
    <col min="2810" max="2810" width="17.1796875" style="70" customWidth="1"/>
    <col min="2811" max="2811" width="14.54296875" style="70" customWidth="1"/>
    <col min="2812" max="2812" width="13.1796875" style="70" customWidth="1"/>
    <col min="2813" max="2813" width="20" style="70" customWidth="1"/>
    <col min="2814" max="2814" width="15.81640625" style="70" customWidth="1"/>
    <col min="2815" max="2815" width="14.453125" style="70" customWidth="1"/>
    <col min="2816" max="2816" width="17.453125" style="70" customWidth="1"/>
    <col min="2817" max="2817" width="14.453125" style="70" customWidth="1"/>
    <col min="2818" max="2818" width="18.453125" style="70" customWidth="1"/>
    <col min="2819" max="2819" width="15.453125" style="70" customWidth="1"/>
    <col min="2820" max="3056" width="9.1796875" style="70"/>
    <col min="3057" max="3057" width="11.453125" style="70" customWidth="1"/>
    <col min="3058" max="3058" width="53" style="70" customWidth="1"/>
    <col min="3059" max="3059" width="20.54296875" style="70" customWidth="1"/>
    <col min="3060" max="3060" width="18.54296875" style="70" customWidth="1"/>
    <col min="3061" max="3061" width="19.453125" style="70" customWidth="1"/>
    <col min="3062" max="3062" width="20.54296875" style="70" customWidth="1"/>
    <col min="3063" max="3063" width="24.1796875" style="70" customWidth="1"/>
    <col min="3064" max="3065" width="20.54296875" style="70" customWidth="1"/>
    <col min="3066" max="3066" width="17.1796875" style="70" customWidth="1"/>
    <col min="3067" max="3067" width="14.54296875" style="70" customWidth="1"/>
    <col min="3068" max="3068" width="13.1796875" style="70" customWidth="1"/>
    <col min="3069" max="3069" width="20" style="70" customWidth="1"/>
    <col min="3070" max="3070" width="15.81640625" style="70" customWidth="1"/>
    <col min="3071" max="3071" width="14.453125" style="70" customWidth="1"/>
    <col min="3072" max="3072" width="17.453125" style="70" customWidth="1"/>
    <col min="3073" max="3073" width="14.453125" style="70" customWidth="1"/>
    <col min="3074" max="3074" width="18.453125" style="70" customWidth="1"/>
    <col min="3075" max="3075" width="15.453125" style="70" customWidth="1"/>
    <col min="3076" max="3312" width="9.1796875" style="70"/>
    <col min="3313" max="3313" width="11.453125" style="70" customWidth="1"/>
    <col min="3314" max="3314" width="53" style="70" customWidth="1"/>
    <col min="3315" max="3315" width="20.54296875" style="70" customWidth="1"/>
    <col min="3316" max="3316" width="18.54296875" style="70" customWidth="1"/>
    <col min="3317" max="3317" width="19.453125" style="70" customWidth="1"/>
    <col min="3318" max="3318" width="20.54296875" style="70" customWidth="1"/>
    <col min="3319" max="3319" width="24.1796875" style="70" customWidth="1"/>
    <col min="3320" max="3321" width="20.54296875" style="70" customWidth="1"/>
    <col min="3322" max="3322" width="17.1796875" style="70" customWidth="1"/>
    <col min="3323" max="3323" width="14.54296875" style="70" customWidth="1"/>
    <col min="3324" max="3324" width="13.1796875" style="70" customWidth="1"/>
    <col min="3325" max="3325" width="20" style="70" customWidth="1"/>
    <col min="3326" max="3326" width="15.81640625" style="70" customWidth="1"/>
    <col min="3327" max="3327" width="14.453125" style="70" customWidth="1"/>
    <col min="3328" max="3328" width="17.453125" style="70" customWidth="1"/>
    <col min="3329" max="3329" width="14.453125" style="70" customWidth="1"/>
    <col min="3330" max="3330" width="18.453125" style="70" customWidth="1"/>
    <col min="3331" max="3331" width="15.453125" style="70" customWidth="1"/>
    <col min="3332" max="3568" width="9.1796875" style="70"/>
    <col min="3569" max="3569" width="11.453125" style="70" customWidth="1"/>
    <col min="3570" max="3570" width="53" style="70" customWidth="1"/>
    <col min="3571" max="3571" width="20.54296875" style="70" customWidth="1"/>
    <col min="3572" max="3572" width="18.54296875" style="70" customWidth="1"/>
    <col min="3573" max="3573" width="19.453125" style="70" customWidth="1"/>
    <col min="3574" max="3574" width="20.54296875" style="70" customWidth="1"/>
    <col min="3575" max="3575" width="24.1796875" style="70" customWidth="1"/>
    <col min="3576" max="3577" width="20.54296875" style="70" customWidth="1"/>
    <col min="3578" max="3578" width="17.1796875" style="70" customWidth="1"/>
    <col min="3579" max="3579" width="14.54296875" style="70" customWidth="1"/>
    <col min="3580" max="3580" width="13.1796875" style="70" customWidth="1"/>
    <col min="3581" max="3581" width="20" style="70" customWidth="1"/>
    <col min="3582" max="3582" width="15.81640625" style="70" customWidth="1"/>
    <col min="3583" max="3583" width="14.453125" style="70" customWidth="1"/>
    <col min="3584" max="3584" width="17.453125" style="70" customWidth="1"/>
    <col min="3585" max="3585" width="14.453125" style="70" customWidth="1"/>
    <col min="3586" max="3586" width="18.453125" style="70" customWidth="1"/>
    <col min="3587" max="3587" width="15.453125" style="70" customWidth="1"/>
    <col min="3588" max="3824" width="9.1796875" style="70"/>
    <col min="3825" max="3825" width="11.453125" style="70" customWidth="1"/>
    <col min="3826" max="3826" width="53" style="70" customWidth="1"/>
    <col min="3827" max="3827" width="20.54296875" style="70" customWidth="1"/>
    <col min="3828" max="3828" width="18.54296875" style="70" customWidth="1"/>
    <col min="3829" max="3829" width="19.453125" style="70" customWidth="1"/>
    <col min="3830" max="3830" width="20.54296875" style="70" customWidth="1"/>
    <col min="3831" max="3831" width="24.1796875" style="70" customWidth="1"/>
    <col min="3832" max="3833" width="20.54296875" style="70" customWidth="1"/>
    <col min="3834" max="3834" width="17.1796875" style="70" customWidth="1"/>
    <col min="3835" max="3835" width="14.54296875" style="70" customWidth="1"/>
    <col min="3836" max="3836" width="13.1796875" style="70" customWidth="1"/>
    <col min="3837" max="3837" width="20" style="70" customWidth="1"/>
    <col min="3838" max="3838" width="15.81640625" style="70" customWidth="1"/>
    <col min="3839" max="3839" width="14.453125" style="70" customWidth="1"/>
    <col min="3840" max="3840" width="17.453125" style="70" customWidth="1"/>
    <col min="3841" max="3841" width="14.453125" style="70" customWidth="1"/>
    <col min="3842" max="3842" width="18.453125" style="70" customWidth="1"/>
    <col min="3843" max="3843" width="15.453125" style="70" customWidth="1"/>
    <col min="3844" max="4080" width="9.1796875" style="70"/>
    <col min="4081" max="4081" width="11.453125" style="70" customWidth="1"/>
    <col min="4082" max="4082" width="53" style="70" customWidth="1"/>
    <col min="4083" max="4083" width="20.54296875" style="70" customWidth="1"/>
    <col min="4084" max="4084" width="18.54296875" style="70" customWidth="1"/>
    <col min="4085" max="4085" width="19.453125" style="70" customWidth="1"/>
    <col min="4086" max="4086" width="20.54296875" style="70" customWidth="1"/>
    <col min="4087" max="4087" width="24.1796875" style="70" customWidth="1"/>
    <col min="4088" max="4089" width="20.54296875" style="70" customWidth="1"/>
    <col min="4090" max="4090" width="17.1796875" style="70" customWidth="1"/>
    <col min="4091" max="4091" width="14.54296875" style="70" customWidth="1"/>
    <col min="4092" max="4092" width="13.1796875" style="70" customWidth="1"/>
    <col min="4093" max="4093" width="20" style="70" customWidth="1"/>
    <col min="4094" max="4094" width="15.81640625" style="70" customWidth="1"/>
    <col min="4095" max="4095" width="14.453125" style="70" customWidth="1"/>
    <col min="4096" max="4096" width="17.453125" style="70" customWidth="1"/>
    <col min="4097" max="4097" width="14.453125" style="70" customWidth="1"/>
    <col min="4098" max="4098" width="18.453125" style="70" customWidth="1"/>
    <col min="4099" max="4099" width="15.453125" style="70" customWidth="1"/>
    <col min="4100" max="4336" width="9.1796875" style="70"/>
    <col min="4337" max="4337" width="11.453125" style="70" customWidth="1"/>
    <col min="4338" max="4338" width="53" style="70" customWidth="1"/>
    <col min="4339" max="4339" width="20.54296875" style="70" customWidth="1"/>
    <col min="4340" max="4340" width="18.54296875" style="70" customWidth="1"/>
    <col min="4341" max="4341" width="19.453125" style="70" customWidth="1"/>
    <col min="4342" max="4342" width="20.54296875" style="70" customWidth="1"/>
    <col min="4343" max="4343" width="24.1796875" style="70" customWidth="1"/>
    <col min="4344" max="4345" width="20.54296875" style="70" customWidth="1"/>
    <col min="4346" max="4346" width="17.1796875" style="70" customWidth="1"/>
    <col min="4347" max="4347" width="14.54296875" style="70" customWidth="1"/>
    <col min="4348" max="4348" width="13.1796875" style="70" customWidth="1"/>
    <col min="4349" max="4349" width="20" style="70" customWidth="1"/>
    <col min="4350" max="4350" width="15.81640625" style="70" customWidth="1"/>
    <col min="4351" max="4351" width="14.453125" style="70" customWidth="1"/>
    <col min="4352" max="4352" width="17.453125" style="70" customWidth="1"/>
    <col min="4353" max="4353" width="14.453125" style="70" customWidth="1"/>
    <col min="4354" max="4354" width="18.453125" style="70" customWidth="1"/>
    <col min="4355" max="4355" width="15.453125" style="70" customWidth="1"/>
    <col min="4356" max="4592" width="9.1796875" style="70"/>
    <col min="4593" max="4593" width="11.453125" style="70" customWidth="1"/>
    <col min="4594" max="4594" width="53" style="70" customWidth="1"/>
    <col min="4595" max="4595" width="20.54296875" style="70" customWidth="1"/>
    <col min="4596" max="4596" width="18.54296875" style="70" customWidth="1"/>
    <col min="4597" max="4597" width="19.453125" style="70" customWidth="1"/>
    <col min="4598" max="4598" width="20.54296875" style="70" customWidth="1"/>
    <col min="4599" max="4599" width="24.1796875" style="70" customWidth="1"/>
    <col min="4600" max="4601" width="20.54296875" style="70" customWidth="1"/>
    <col min="4602" max="4602" width="17.1796875" style="70" customWidth="1"/>
    <col min="4603" max="4603" width="14.54296875" style="70" customWidth="1"/>
    <col min="4604" max="4604" width="13.1796875" style="70" customWidth="1"/>
    <col min="4605" max="4605" width="20" style="70" customWidth="1"/>
    <col min="4606" max="4606" width="15.81640625" style="70" customWidth="1"/>
    <col min="4607" max="4607" width="14.453125" style="70" customWidth="1"/>
    <col min="4608" max="4608" width="17.453125" style="70" customWidth="1"/>
    <col min="4609" max="4609" width="14.453125" style="70" customWidth="1"/>
    <col min="4610" max="4610" width="18.453125" style="70" customWidth="1"/>
    <col min="4611" max="4611" width="15.453125" style="70" customWidth="1"/>
    <col min="4612" max="4848" width="9.1796875" style="70"/>
    <col min="4849" max="4849" width="11.453125" style="70" customWidth="1"/>
    <col min="4850" max="4850" width="53" style="70" customWidth="1"/>
    <col min="4851" max="4851" width="20.54296875" style="70" customWidth="1"/>
    <col min="4852" max="4852" width="18.54296875" style="70" customWidth="1"/>
    <col min="4853" max="4853" width="19.453125" style="70" customWidth="1"/>
    <col min="4854" max="4854" width="20.54296875" style="70" customWidth="1"/>
    <col min="4855" max="4855" width="24.1796875" style="70" customWidth="1"/>
    <col min="4856" max="4857" width="20.54296875" style="70" customWidth="1"/>
    <col min="4858" max="4858" width="17.1796875" style="70" customWidth="1"/>
    <col min="4859" max="4859" width="14.54296875" style="70" customWidth="1"/>
    <col min="4860" max="4860" width="13.1796875" style="70" customWidth="1"/>
    <col min="4861" max="4861" width="20" style="70" customWidth="1"/>
    <col min="4862" max="4862" width="15.81640625" style="70" customWidth="1"/>
    <col min="4863" max="4863" width="14.453125" style="70" customWidth="1"/>
    <col min="4864" max="4864" width="17.453125" style="70" customWidth="1"/>
    <col min="4865" max="4865" width="14.453125" style="70" customWidth="1"/>
    <col min="4866" max="4866" width="18.453125" style="70" customWidth="1"/>
    <col min="4867" max="4867" width="15.453125" style="70" customWidth="1"/>
    <col min="4868" max="5104" width="9.1796875" style="70"/>
    <col min="5105" max="5105" width="11.453125" style="70" customWidth="1"/>
    <col min="5106" max="5106" width="53" style="70" customWidth="1"/>
    <col min="5107" max="5107" width="20.54296875" style="70" customWidth="1"/>
    <col min="5108" max="5108" width="18.54296875" style="70" customWidth="1"/>
    <col min="5109" max="5109" width="19.453125" style="70" customWidth="1"/>
    <col min="5110" max="5110" width="20.54296875" style="70" customWidth="1"/>
    <col min="5111" max="5111" width="24.1796875" style="70" customWidth="1"/>
    <col min="5112" max="5113" width="20.54296875" style="70" customWidth="1"/>
    <col min="5114" max="5114" width="17.1796875" style="70" customWidth="1"/>
    <col min="5115" max="5115" width="14.54296875" style="70" customWidth="1"/>
    <col min="5116" max="5116" width="13.1796875" style="70" customWidth="1"/>
    <col min="5117" max="5117" width="20" style="70" customWidth="1"/>
    <col min="5118" max="5118" width="15.81640625" style="70" customWidth="1"/>
    <col min="5119" max="5119" width="14.453125" style="70" customWidth="1"/>
    <col min="5120" max="5120" width="17.453125" style="70" customWidth="1"/>
    <col min="5121" max="5121" width="14.453125" style="70" customWidth="1"/>
    <col min="5122" max="5122" width="18.453125" style="70" customWidth="1"/>
    <col min="5123" max="5123" width="15.453125" style="70" customWidth="1"/>
    <col min="5124" max="5360" width="9.1796875" style="70"/>
    <col min="5361" max="5361" width="11.453125" style="70" customWidth="1"/>
    <col min="5362" max="5362" width="53" style="70" customWidth="1"/>
    <col min="5363" max="5363" width="20.54296875" style="70" customWidth="1"/>
    <col min="5364" max="5364" width="18.54296875" style="70" customWidth="1"/>
    <col min="5365" max="5365" width="19.453125" style="70" customWidth="1"/>
    <col min="5366" max="5366" width="20.54296875" style="70" customWidth="1"/>
    <col min="5367" max="5367" width="24.1796875" style="70" customWidth="1"/>
    <col min="5368" max="5369" width="20.54296875" style="70" customWidth="1"/>
    <col min="5370" max="5370" width="17.1796875" style="70" customWidth="1"/>
    <col min="5371" max="5371" width="14.54296875" style="70" customWidth="1"/>
    <col min="5372" max="5372" width="13.1796875" style="70" customWidth="1"/>
    <col min="5373" max="5373" width="20" style="70" customWidth="1"/>
    <col min="5374" max="5374" width="15.81640625" style="70" customWidth="1"/>
    <col min="5375" max="5375" width="14.453125" style="70" customWidth="1"/>
    <col min="5376" max="5376" width="17.453125" style="70" customWidth="1"/>
    <col min="5377" max="5377" width="14.453125" style="70" customWidth="1"/>
    <col min="5378" max="5378" width="18.453125" style="70" customWidth="1"/>
    <col min="5379" max="5379" width="15.453125" style="70" customWidth="1"/>
    <col min="5380" max="5616" width="9.1796875" style="70"/>
    <col min="5617" max="5617" width="11.453125" style="70" customWidth="1"/>
    <col min="5618" max="5618" width="53" style="70" customWidth="1"/>
    <col min="5619" max="5619" width="20.54296875" style="70" customWidth="1"/>
    <col min="5620" max="5620" width="18.54296875" style="70" customWidth="1"/>
    <col min="5621" max="5621" width="19.453125" style="70" customWidth="1"/>
    <col min="5622" max="5622" width="20.54296875" style="70" customWidth="1"/>
    <col min="5623" max="5623" width="24.1796875" style="70" customWidth="1"/>
    <col min="5624" max="5625" width="20.54296875" style="70" customWidth="1"/>
    <col min="5626" max="5626" width="17.1796875" style="70" customWidth="1"/>
    <col min="5627" max="5627" width="14.54296875" style="70" customWidth="1"/>
    <col min="5628" max="5628" width="13.1796875" style="70" customWidth="1"/>
    <col min="5629" max="5629" width="20" style="70" customWidth="1"/>
    <col min="5630" max="5630" width="15.81640625" style="70" customWidth="1"/>
    <col min="5631" max="5631" width="14.453125" style="70" customWidth="1"/>
    <col min="5632" max="5632" width="17.453125" style="70" customWidth="1"/>
    <col min="5633" max="5633" width="14.453125" style="70" customWidth="1"/>
    <col min="5634" max="5634" width="18.453125" style="70" customWidth="1"/>
    <col min="5635" max="5635" width="15.453125" style="70" customWidth="1"/>
    <col min="5636" max="5872" width="9.1796875" style="70"/>
    <col min="5873" max="5873" width="11.453125" style="70" customWidth="1"/>
    <col min="5874" max="5874" width="53" style="70" customWidth="1"/>
    <col min="5875" max="5875" width="20.54296875" style="70" customWidth="1"/>
    <col min="5876" max="5876" width="18.54296875" style="70" customWidth="1"/>
    <col min="5877" max="5877" width="19.453125" style="70" customWidth="1"/>
    <col min="5878" max="5878" width="20.54296875" style="70" customWidth="1"/>
    <col min="5879" max="5879" width="24.1796875" style="70" customWidth="1"/>
    <col min="5880" max="5881" width="20.54296875" style="70" customWidth="1"/>
    <col min="5882" max="5882" width="17.1796875" style="70" customWidth="1"/>
    <col min="5883" max="5883" width="14.54296875" style="70" customWidth="1"/>
    <col min="5884" max="5884" width="13.1796875" style="70" customWidth="1"/>
    <col min="5885" max="5885" width="20" style="70" customWidth="1"/>
    <col min="5886" max="5886" width="15.81640625" style="70" customWidth="1"/>
    <col min="5887" max="5887" width="14.453125" style="70" customWidth="1"/>
    <col min="5888" max="5888" width="17.453125" style="70" customWidth="1"/>
    <col min="5889" max="5889" width="14.453125" style="70" customWidth="1"/>
    <col min="5890" max="5890" width="18.453125" style="70" customWidth="1"/>
    <col min="5891" max="5891" width="15.453125" style="70" customWidth="1"/>
    <col min="5892" max="6128" width="9.1796875" style="70"/>
    <col min="6129" max="6129" width="11.453125" style="70" customWidth="1"/>
    <col min="6130" max="6130" width="53" style="70" customWidth="1"/>
    <col min="6131" max="6131" width="20.54296875" style="70" customWidth="1"/>
    <col min="6132" max="6132" width="18.54296875" style="70" customWidth="1"/>
    <col min="6133" max="6133" width="19.453125" style="70" customWidth="1"/>
    <col min="6134" max="6134" width="20.54296875" style="70" customWidth="1"/>
    <col min="6135" max="6135" width="24.1796875" style="70" customWidth="1"/>
    <col min="6136" max="6137" width="20.54296875" style="70" customWidth="1"/>
    <col min="6138" max="6138" width="17.1796875" style="70" customWidth="1"/>
    <col min="6139" max="6139" width="14.54296875" style="70" customWidth="1"/>
    <col min="6140" max="6140" width="13.1796875" style="70" customWidth="1"/>
    <col min="6141" max="6141" width="20" style="70" customWidth="1"/>
    <col min="6142" max="6142" width="15.81640625" style="70" customWidth="1"/>
    <col min="6143" max="6143" width="14.453125" style="70" customWidth="1"/>
    <col min="6144" max="6144" width="17.453125" style="70" customWidth="1"/>
    <col min="6145" max="6145" width="14.453125" style="70" customWidth="1"/>
    <col min="6146" max="6146" width="18.453125" style="70" customWidth="1"/>
    <col min="6147" max="6147" width="15.453125" style="70" customWidth="1"/>
    <col min="6148" max="6384" width="9.1796875" style="70"/>
    <col min="6385" max="6385" width="11.453125" style="70" customWidth="1"/>
    <col min="6386" max="6386" width="53" style="70" customWidth="1"/>
    <col min="6387" max="6387" width="20.54296875" style="70" customWidth="1"/>
    <col min="6388" max="6388" width="18.54296875" style="70" customWidth="1"/>
    <col min="6389" max="6389" width="19.453125" style="70" customWidth="1"/>
    <col min="6390" max="6390" width="20.54296875" style="70" customWidth="1"/>
    <col min="6391" max="6391" width="24.1796875" style="70" customWidth="1"/>
    <col min="6392" max="6393" width="20.54296875" style="70" customWidth="1"/>
    <col min="6394" max="6394" width="17.1796875" style="70" customWidth="1"/>
    <col min="6395" max="6395" width="14.54296875" style="70" customWidth="1"/>
    <col min="6396" max="6396" width="13.1796875" style="70" customWidth="1"/>
    <col min="6397" max="6397" width="20" style="70" customWidth="1"/>
    <col min="6398" max="6398" width="15.81640625" style="70" customWidth="1"/>
    <col min="6399" max="6399" width="14.453125" style="70" customWidth="1"/>
    <col min="6400" max="6400" width="17.453125" style="70" customWidth="1"/>
    <col min="6401" max="6401" width="14.453125" style="70" customWidth="1"/>
    <col min="6402" max="6402" width="18.453125" style="70" customWidth="1"/>
    <col min="6403" max="6403" width="15.453125" style="70" customWidth="1"/>
    <col min="6404" max="6640" width="9.1796875" style="70"/>
    <col min="6641" max="6641" width="11.453125" style="70" customWidth="1"/>
    <col min="6642" max="6642" width="53" style="70" customWidth="1"/>
    <col min="6643" max="6643" width="20.54296875" style="70" customWidth="1"/>
    <col min="6644" max="6644" width="18.54296875" style="70" customWidth="1"/>
    <col min="6645" max="6645" width="19.453125" style="70" customWidth="1"/>
    <col min="6646" max="6646" width="20.54296875" style="70" customWidth="1"/>
    <col min="6647" max="6647" width="24.1796875" style="70" customWidth="1"/>
    <col min="6648" max="6649" width="20.54296875" style="70" customWidth="1"/>
    <col min="6650" max="6650" width="17.1796875" style="70" customWidth="1"/>
    <col min="6651" max="6651" width="14.54296875" style="70" customWidth="1"/>
    <col min="6652" max="6652" width="13.1796875" style="70" customWidth="1"/>
    <col min="6653" max="6653" width="20" style="70" customWidth="1"/>
    <col min="6654" max="6654" width="15.81640625" style="70" customWidth="1"/>
    <col min="6655" max="6655" width="14.453125" style="70" customWidth="1"/>
    <col min="6656" max="6656" width="17.453125" style="70" customWidth="1"/>
    <col min="6657" max="6657" width="14.453125" style="70" customWidth="1"/>
    <col min="6658" max="6658" width="18.453125" style="70" customWidth="1"/>
    <col min="6659" max="6659" width="15.453125" style="70" customWidth="1"/>
    <col min="6660" max="6896" width="9.1796875" style="70"/>
    <col min="6897" max="6897" width="11.453125" style="70" customWidth="1"/>
    <col min="6898" max="6898" width="53" style="70" customWidth="1"/>
    <col min="6899" max="6899" width="20.54296875" style="70" customWidth="1"/>
    <col min="6900" max="6900" width="18.54296875" style="70" customWidth="1"/>
    <col min="6901" max="6901" width="19.453125" style="70" customWidth="1"/>
    <col min="6902" max="6902" width="20.54296875" style="70" customWidth="1"/>
    <col min="6903" max="6903" width="24.1796875" style="70" customWidth="1"/>
    <col min="6904" max="6905" width="20.54296875" style="70" customWidth="1"/>
    <col min="6906" max="6906" width="17.1796875" style="70" customWidth="1"/>
    <col min="6907" max="6907" width="14.54296875" style="70" customWidth="1"/>
    <col min="6908" max="6908" width="13.1796875" style="70" customWidth="1"/>
    <col min="6909" max="6909" width="20" style="70" customWidth="1"/>
    <col min="6910" max="6910" width="15.81640625" style="70" customWidth="1"/>
    <col min="6911" max="6911" width="14.453125" style="70" customWidth="1"/>
    <col min="6912" max="6912" width="17.453125" style="70" customWidth="1"/>
    <col min="6913" max="6913" width="14.453125" style="70" customWidth="1"/>
    <col min="6914" max="6914" width="18.453125" style="70" customWidth="1"/>
    <col min="6915" max="6915" width="15.453125" style="70" customWidth="1"/>
    <col min="6916" max="7152" width="9.1796875" style="70"/>
    <col min="7153" max="7153" width="11.453125" style="70" customWidth="1"/>
    <col min="7154" max="7154" width="53" style="70" customWidth="1"/>
    <col min="7155" max="7155" width="20.54296875" style="70" customWidth="1"/>
    <col min="7156" max="7156" width="18.54296875" style="70" customWidth="1"/>
    <col min="7157" max="7157" width="19.453125" style="70" customWidth="1"/>
    <col min="7158" max="7158" width="20.54296875" style="70" customWidth="1"/>
    <col min="7159" max="7159" width="24.1796875" style="70" customWidth="1"/>
    <col min="7160" max="7161" width="20.54296875" style="70" customWidth="1"/>
    <col min="7162" max="7162" width="17.1796875" style="70" customWidth="1"/>
    <col min="7163" max="7163" width="14.54296875" style="70" customWidth="1"/>
    <col min="7164" max="7164" width="13.1796875" style="70" customWidth="1"/>
    <col min="7165" max="7165" width="20" style="70" customWidth="1"/>
    <col min="7166" max="7166" width="15.81640625" style="70" customWidth="1"/>
    <col min="7167" max="7167" width="14.453125" style="70" customWidth="1"/>
    <col min="7168" max="7168" width="17.453125" style="70" customWidth="1"/>
    <col min="7169" max="7169" width="14.453125" style="70" customWidth="1"/>
    <col min="7170" max="7170" width="18.453125" style="70" customWidth="1"/>
    <col min="7171" max="7171" width="15.453125" style="70" customWidth="1"/>
    <col min="7172" max="7408" width="9.1796875" style="70"/>
    <col min="7409" max="7409" width="11.453125" style="70" customWidth="1"/>
    <col min="7410" max="7410" width="53" style="70" customWidth="1"/>
    <col min="7411" max="7411" width="20.54296875" style="70" customWidth="1"/>
    <col min="7412" max="7412" width="18.54296875" style="70" customWidth="1"/>
    <col min="7413" max="7413" width="19.453125" style="70" customWidth="1"/>
    <col min="7414" max="7414" width="20.54296875" style="70" customWidth="1"/>
    <col min="7415" max="7415" width="24.1796875" style="70" customWidth="1"/>
    <col min="7416" max="7417" width="20.54296875" style="70" customWidth="1"/>
    <col min="7418" max="7418" width="17.1796875" style="70" customWidth="1"/>
    <col min="7419" max="7419" width="14.54296875" style="70" customWidth="1"/>
    <col min="7420" max="7420" width="13.1796875" style="70" customWidth="1"/>
    <col min="7421" max="7421" width="20" style="70" customWidth="1"/>
    <col min="7422" max="7422" width="15.81640625" style="70" customWidth="1"/>
    <col min="7423" max="7423" width="14.453125" style="70" customWidth="1"/>
    <col min="7424" max="7424" width="17.453125" style="70" customWidth="1"/>
    <col min="7425" max="7425" width="14.453125" style="70" customWidth="1"/>
    <col min="7426" max="7426" width="18.453125" style="70" customWidth="1"/>
    <col min="7427" max="7427" width="15.453125" style="70" customWidth="1"/>
    <col min="7428" max="7664" width="9.1796875" style="70"/>
    <col min="7665" max="7665" width="11.453125" style="70" customWidth="1"/>
    <col min="7666" max="7666" width="53" style="70" customWidth="1"/>
    <col min="7667" max="7667" width="20.54296875" style="70" customWidth="1"/>
    <col min="7668" max="7668" width="18.54296875" style="70" customWidth="1"/>
    <col min="7669" max="7669" width="19.453125" style="70" customWidth="1"/>
    <col min="7670" max="7670" width="20.54296875" style="70" customWidth="1"/>
    <col min="7671" max="7671" width="24.1796875" style="70" customWidth="1"/>
    <col min="7672" max="7673" width="20.54296875" style="70" customWidth="1"/>
    <col min="7674" max="7674" width="17.1796875" style="70" customWidth="1"/>
    <col min="7675" max="7675" width="14.54296875" style="70" customWidth="1"/>
    <col min="7676" max="7676" width="13.1796875" style="70" customWidth="1"/>
    <col min="7677" max="7677" width="20" style="70" customWidth="1"/>
    <col min="7678" max="7678" width="15.81640625" style="70" customWidth="1"/>
    <col min="7679" max="7679" width="14.453125" style="70" customWidth="1"/>
    <col min="7680" max="7680" width="17.453125" style="70" customWidth="1"/>
    <col min="7681" max="7681" width="14.453125" style="70" customWidth="1"/>
    <col min="7682" max="7682" width="18.453125" style="70" customWidth="1"/>
    <col min="7683" max="7683" width="15.453125" style="70" customWidth="1"/>
    <col min="7684" max="7920" width="9.1796875" style="70"/>
    <col min="7921" max="7921" width="11.453125" style="70" customWidth="1"/>
    <col min="7922" max="7922" width="53" style="70" customWidth="1"/>
    <col min="7923" max="7923" width="20.54296875" style="70" customWidth="1"/>
    <col min="7924" max="7924" width="18.54296875" style="70" customWidth="1"/>
    <col min="7925" max="7925" width="19.453125" style="70" customWidth="1"/>
    <col min="7926" max="7926" width="20.54296875" style="70" customWidth="1"/>
    <col min="7927" max="7927" width="24.1796875" style="70" customWidth="1"/>
    <col min="7928" max="7929" width="20.54296875" style="70" customWidth="1"/>
    <col min="7930" max="7930" width="17.1796875" style="70" customWidth="1"/>
    <col min="7931" max="7931" width="14.54296875" style="70" customWidth="1"/>
    <col min="7932" max="7932" width="13.1796875" style="70" customWidth="1"/>
    <col min="7933" max="7933" width="20" style="70" customWidth="1"/>
    <col min="7934" max="7934" width="15.81640625" style="70" customWidth="1"/>
    <col min="7935" max="7935" width="14.453125" style="70" customWidth="1"/>
    <col min="7936" max="7936" width="17.453125" style="70" customWidth="1"/>
    <col min="7937" max="7937" width="14.453125" style="70" customWidth="1"/>
    <col min="7938" max="7938" width="18.453125" style="70" customWidth="1"/>
    <col min="7939" max="7939" width="15.453125" style="70" customWidth="1"/>
    <col min="7940" max="8176" width="9.1796875" style="70"/>
    <col min="8177" max="8177" width="11.453125" style="70" customWidth="1"/>
    <col min="8178" max="8178" width="53" style="70" customWidth="1"/>
    <col min="8179" max="8179" width="20.54296875" style="70" customWidth="1"/>
    <col min="8180" max="8180" width="18.54296875" style="70" customWidth="1"/>
    <col min="8181" max="8181" width="19.453125" style="70" customWidth="1"/>
    <col min="8182" max="8182" width="20.54296875" style="70" customWidth="1"/>
    <col min="8183" max="8183" width="24.1796875" style="70" customWidth="1"/>
    <col min="8184" max="8185" width="20.54296875" style="70" customWidth="1"/>
    <col min="8186" max="8186" width="17.1796875" style="70" customWidth="1"/>
    <col min="8187" max="8187" width="14.54296875" style="70" customWidth="1"/>
    <col min="8188" max="8188" width="13.1796875" style="70" customWidth="1"/>
    <col min="8189" max="8189" width="20" style="70" customWidth="1"/>
    <col min="8190" max="8190" width="15.81640625" style="70" customWidth="1"/>
    <col min="8191" max="8191" width="14.453125" style="70" customWidth="1"/>
    <col min="8192" max="8192" width="17.453125" style="70" customWidth="1"/>
    <col min="8193" max="8193" width="14.453125" style="70" customWidth="1"/>
    <col min="8194" max="8194" width="18.453125" style="70" customWidth="1"/>
    <col min="8195" max="8195" width="15.453125" style="70" customWidth="1"/>
    <col min="8196" max="8432" width="9.1796875" style="70"/>
    <col min="8433" max="8433" width="11.453125" style="70" customWidth="1"/>
    <col min="8434" max="8434" width="53" style="70" customWidth="1"/>
    <col min="8435" max="8435" width="20.54296875" style="70" customWidth="1"/>
    <col min="8436" max="8436" width="18.54296875" style="70" customWidth="1"/>
    <col min="8437" max="8437" width="19.453125" style="70" customWidth="1"/>
    <col min="8438" max="8438" width="20.54296875" style="70" customWidth="1"/>
    <col min="8439" max="8439" width="24.1796875" style="70" customWidth="1"/>
    <col min="8440" max="8441" width="20.54296875" style="70" customWidth="1"/>
    <col min="8442" max="8442" width="17.1796875" style="70" customWidth="1"/>
    <col min="8443" max="8443" width="14.54296875" style="70" customWidth="1"/>
    <col min="8444" max="8444" width="13.1796875" style="70" customWidth="1"/>
    <col min="8445" max="8445" width="20" style="70" customWidth="1"/>
    <col min="8446" max="8446" width="15.81640625" style="70" customWidth="1"/>
    <col min="8447" max="8447" width="14.453125" style="70" customWidth="1"/>
    <col min="8448" max="8448" width="17.453125" style="70" customWidth="1"/>
    <col min="8449" max="8449" width="14.453125" style="70" customWidth="1"/>
    <col min="8450" max="8450" width="18.453125" style="70" customWidth="1"/>
    <col min="8451" max="8451" width="15.453125" style="70" customWidth="1"/>
    <col min="8452" max="8688" width="9.1796875" style="70"/>
    <col min="8689" max="8689" width="11.453125" style="70" customWidth="1"/>
    <col min="8690" max="8690" width="53" style="70" customWidth="1"/>
    <col min="8691" max="8691" width="20.54296875" style="70" customWidth="1"/>
    <col min="8692" max="8692" width="18.54296875" style="70" customWidth="1"/>
    <col min="8693" max="8693" width="19.453125" style="70" customWidth="1"/>
    <col min="8694" max="8694" width="20.54296875" style="70" customWidth="1"/>
    <col min="8695" max="8695" width="24.1796875" style="70" customWidth="1"/>
    <col min="8696" max="8697" width="20.54296875" style="70" customWidth="1"/>
    <col min="8698" max="8698" width="17.1796875" style="70" customWidth="1"/>
    <col min="8699" max="8699" width="14.54296875" style="70" customWidth="1"/>
    <col min="8700" max="8700" width="13.1796875" style="70" customWidth="1"/>
    <col min="8701" max="8701" width="20" style="70" customWidth="1"/>
    <col min="8702" max="8702" width="15.81640625" style="70" customWidth="1"/>
    <col min="8703" max="8703" width="14.453125" style="70" customWidth="1"/>
    <col min="8704" max="8704" width="17.453125" style="70" customWidth="1"/>
    <col min="8705" max="8705" width="14.453125" style="70" customWidth="1"/>
    <col min="8706" max="8706" width="18.453125" style="70" customWidth="1"/>
    <col min="8707" max="8707" width="15.453125" style="70" customWidth="1"/>
    <col min="8708" max="8944" width="9.1796875" style="70"/>
    <col min="8945" max="8945" width="11.453125" style="70" customWidth="1"/>
    <col min="8946" max="8946" width="53" style="70" customWidth="1"/>
    <col min="8947" max="8947" width="20.54296875" style="70" customWidth="1"/>
    <col min="8948" max="8948" width="18.54296875" style="70" customWidth="1"/>
    <col min="8949" max="8949" width="19.453125" style="70" customWidth="1"/>
    <col min="8950" max="8950" width="20.54296875" style="70" customWidth="1"/>
    <col min="8951" max="8951" width="24.1796875" style="70" customWidth="1"/>
    <col min="8952" max="8953" width="20.54296875" style="70" customWidth="1"/>
    <col min="8954" max="8954" width="17.1796875" style="70" customWidth="1"/>
    <col min="8955" max="8955" width="14.54296875" style="70" customWidth="1"/>
    <col min="8956" max="8956" width="13.1796875" style="70" customWidth="1"/>
    <col min="8957" max="8957" width="20" style="70" customWidth="1"/>
    <col min="8958" max="8958" width="15.81640625" style="70" customWidth="1"/>
    <col min="8959" max="8959" width="14.453125" style="70" customWidth="1"/>
    <col min="8960" max="8960" width="17.453125" style="70" customWidth="1"/>
    <col min="8961" max="8961" width="14.453125" style="70" customWidth="1"/>
    <col min="8962" max="8962" width="18.453125" style="70" customWidth="1"/>
    <col min="8963" max="8963" width="15.453125" style="70" customWidth="1"/>
    <col min="8964" max="9200" width="9.1796875" style="70"/>
    <col min="9201" max="9201" width="11.453125" style="70" customWidth="1"/>
    <col min="9202" max="9202" width="53" style="70" customWidth="1"/>
    <col min="9203" max="9203" width="20.54296875" style="70" customWidth="1"/>
    <col min="9204" max="9204" width="18.54296875" style="70" customWidth="1"/>
    <col min="9205" max="9205" width="19.453125" style="70" customWidth="1"/>
    <col min="9206" max="9206" width="20.54296875" style="70" customWidth="1"/>
    <col min="9207" max="9207" width="24.1796875" style="70" customWidth="1"/>
    <col min="9208" max="9209" width="20.54296875" style="70" customWidth="1"/>
    <col min="9210" max="9210" width="17.1796875" style="70" customWidth="1"/>
    <col min="9211" max="9211" width="14.54296875" style="70" customWidth="1"/>
    <col min="9212" max="9212" width="13.1796875" style="70" customWidth="1"/>
    <col min="9213" max="9213" width="20" style="70" customWidth="1"/>
    <col min="9214" max="9214" width="15.81640625" style="70" customWidth="1"/>
    <col min="9215" max="9215" width="14.453125" style="70" customWidth="1"/>
    <col min="9216" max="9216" width="17.453125" style="70" customWidth="1"/>
    <col min="9217" max="9217" width="14.453125" style="70" customWidth="1"/>
    <col min="9218" max="9218" width="18.453125" style="70" customWidth="1"/>
    <col min="9219" max="9219" width="15.453125" style="70" customWidth="1"/>
    <col min="9220" max="9456" width="9.1796875" style="70"/>
    <col min="9457" max="9457" width="11.453125" style="70" customWidth="1"/>
    <col min="9458" max="9458" width="53" style="70" customWidth="1"/>
    <col min="9459" max="9459" width="20.54296875" style="70" customWidth="1"/>
    <col min="9460" max="9460" width="18.54296875" style="70" customWidth="1"/>
    <col min="9461" max="9461" width="19.453125" style="70" customWidth="1"/>
    <col min="9462" max="9462" width="20.54296875" style="70" customWidth="1"/>
    <col min="9463" max="9463" width="24.1796875" style="70" customWidth="1"/>
    <col min="9464" max="9465" width="20.54296875" style="70" customWidth="1"/>
    <col min="9466" max="9466" width="17.1796875" style="70" customWidth="1"/>
    <col min="9467" max="9467" width="14.54296875" style="70" customWidth="1"/>
    <col min="9468" max="9468" width="13.1796875" style="70" customWidth="1"/>
    <col min="9469" max="9469" width="20" style="70" customWidth="1"/>
    <col min="9470" max="9470" width="15.81640625" style="70" customWidth="1"/>
    <col min="9471" max="9471" width="14.453125" style="70" customWidth="1"/>
    <col min="9472" max="9472" width="17.453125" style="70" customWidth="1"/>
    <col min="9473" max="9473" width="14.453125" style="70" customWidth="1"/>
    <col min="9474" max="9474" width="18.453125" style="70" customWidth="1"/>
    <col min="9475" max="9475" width="15.453125" style="70" customWidth="1"/>
    <col min="9476" max="9712" width="9.1796875" style="70"/>
    <col min="9713" max="9713" width="11.453125" style="70" customWidth="1"/>
    <col min="9714" max="9714" width="53" style="70" customWidth="1"/>
    <col min="9715" max="9715" width="20.54296875" style="70" customWidth="1"/>
    <col min="9716" max="9716" width="18.54296875" style="70" customWidth="1"/>
    <col min="9717" max="9717" width="19.453125" style="70" customWidth="1"/>
    <col min="9718" max="9718" width="20.54296875" style="70" customWidth="1"/>
    <col min="9719" max="9719" width="24.1796875" style="70" customWidth="1"/>
    <col min="9720" max="9721" width="20.54296875" style="70" customWidth="1"/>
    <col min="9722" max="9722" width="17.1796875" style="70" customWidth="1"/>
    <col min="9723" max="9723" width="14.54296875" style="70" customWidth="1"/>
    <col min="9724" max="9724" width="13.1796875" style="70" customWidth="1"/>
    <col min="9725" max="9725" width="20" style="70" customWidth="1"/>
    <col min="9726" max="9726" width="15.81640625" style="70" customWidth="1"/>
    <col min="9727" max="9727" width="14.453125" style="70" customWidth="1"/>
    <col min="9728" max="9728" width="17.453125" style="70" customWidth="1"/>
    <col min="9729" max="9729" width="14.453125" style="70" customWidth="1"/>
    <col min="9730" max="9730" width="18.453125" style="70" customWidth="1"/>
    <col min="9731" max="9731" width="15.453125" style="70" customWidth="1"/>
    <col min="9732" max="9968" width="9.1796875" style="70"/>
    <col min="9969" max="9969" width="11.453125" style="70" customWidth="1"/>
    <col min="9970" max="9970" width="53" style="70" customWidth="1"/>
    <col min="9971" max="9971" width="20.54296875" style="70" customWidth="1"/>
    <col min="9972" max="9972" width="18.54296875" style="70" customWidth="1"/>
    <col min="9973" max="9973" width="19.453125" style="70" customWidth="1"/>
    <col min="9974" max="9974" width="20.54296875" style="70" customWidth="1"/>
    <col min="9975" max="9975" width="24.1796875" style="70" customWidth="1"/>
    <col min="9976" max="9977" width="20.54296875" style="70" customWidth="1"/>
    <col min="9978" max="9978" width="17.1796875" style="70" customWidth="1"/>
    <col min="9979" max="9979" width="14.54296875" style="70" customWidth="1"/>
    <col min="9980" max="9980" width="13.1796875" style="70" customWidth="1"/>
    <col min="9981" max="9981" width="20" style="70" customWidth="1"/>
    <col min="9982" max="9982" width="15.81640625" style="70" customWidth="1"/>
    <col min="9983" max="9983" width="14.453125" style="70" customWidth="1"/>
    <col min="9984" max="9984" width="17.453125" style="70" customWidth="1"/>
    <col min="9985" max="9985" width="14.453125" style="70" customWidth="1"/>
    <col min="9986" max="9986" width="18.453125" style="70" customWidth="1"/>
    <col min="9987" max="9987" width="15.453125" style="70" customWidth="1"/>
    <col min="9988" max="10224" width="9.1796875" style="70"/>
    <col min="10225" max="10225" width="11.453125" style="70" customWidth="1"/>
    <col min="10226" max="10226" width="53" style="70" customWidth="1"/>
    <col min="10227" max="10227" width="20.54296875" style="70" customWidth="1"/>
    <col min="10228" max="10228" width="18.54296875" style="70" customWidth="1"/>
    <col min="10229" max="10229" width="19.453125" style="70" customWidth="1"/>
    <col min="10230" max="10230" width="20.54296875" style="70" customWidth="1"/>
    <col min="10231" max="10231" width="24.1796875" style="70" customWidth="1"/>
    <col min="10232" max="10233" width="20.54296875" style="70" customWidth="1"/>
    <col min="10234" max="10234" width="17.1796875" style="70" customWidth="1"/>
    <col min="10235" max="10235" width="14.54296875" style="70" customWidth="1"/>
    <col min="10236" max="10236" width="13.1796875" style="70" customWidth="1"/>
    <col min="10237" max="10237" width="20" style="70" customWidth="1"/>
    <col min="10238" max="10238" width="15.81640625" style="70" customWidth="1"/>
    <col min="10239" max="10239" width="14.453125" style="70" customWidth="1"/>
    <col min="10240" max="10240" width="17.453125" style="70" customWidth="1"/>
    <col min="10241" max="10241" width="14.453125" style="70" customWidth="1"/>
    <col min="10242" max="10242" width="18.453125" style="70" customWidth="1"/>
    <col min="10243" max="10243" width="15.453125" style="70" customWidth="1"/>
    <col min="10244" max="10480" width="9.1796875" style="70"/>
    <col min="10481" max="10481" width="11.453125" style="70" customWidth="1"/>
    <col min="10482" max="10482" width="53" style="70" customWidth="1"/>
    <col min="10483" max="10483" width="20.54296875" style="70" customWidth="1"/>
    <col min="10484" max="10484" width="18.54296875" style="70" customWidth="1"/>
    <col min="10485" max="10485" width="19.453125" style="70" customWidth="1"/>
    <col min="10486" max="10486" width="20.54296875" style="70" customWidth="1"/>
    <col min="10487" max="10487" width="24.1796875" style="70" customWidth="1"/>
    <col min="10488" max="10489" width="20.54296875" style="70" customWidth="1"/>
    <col min="10490" max="10490" width="17.1796875" style="70" customWidth="1"/>
    <col min="10491" max="10491" width="14.54296875" style="70" customWidth="1"/>
    <col min="10492" max="10492" width="13.1796875" style="70" customWidth="1"/>
    <col min="10493" max="10493" width="20" style="70" customWidth="1"/>
    <col min="10494" max="10494" width="15.81640625" style="70" customWidth="1"/>
    <col min="10495" max="10495" width="14.453125" style="70" customWidth="1"/>
    <col min="10496" max="10496" width="17.453125" style="70" customWidth="1"/>
    <col min="10497" max="10497" width="14.453125" style="70" customWidth="1"/>
    <col min="10498" max="10498" width="18.453125" style="70" customWidth="1"/>
    <col min="10499" max="10499" width="15.453125" style="70" customWidth="1"/>
    <col min="10500" max="10736" width="9.1796875" style="70"/>
    <col min="10737" max="10737" width="11.453125" style="70" customWidth="1"/>
    <col min="10738" max="10738" width="53" style="70" customWidth="1"/>
    <col min="10739" max="10739" width="20.54296875" style="70" customWidth="1"/>
    <col min="10740" max="10740" width="18.54296875" style="70" customWidth="1"/>
    <col min="10741" max="10741" width="19.453125" style="70" customWidth="1"/>
    <col min="10742" max="10742" width="20.54296875" style="70" customWidth="1"/>
    <col min="10743" max="10743" width="24.1796875" style="70" customWidth="1"/>
    <col min="10744" max="10745" width="20.54296875" style="70" customWidth="1"/>
    <col min="10746" max="10746" width="17.1796875" style="70" customWidth="1"/>
    <col min="10747" max="10747" width="14.54296875" style="70" customWidth="1"/>
    <col min="10748" max="10748" width="13.1796875" style="70" customWidth="1"/>
    <col min="10749" max="10749" width="20" style="70" customWidth="1"/>
    <col min="10750" max="10750" width="15.81640625" style="70" customWidth="1"/>
    <col min="10751" max="10751" width="14.453125" style="70" customWidth="1"/>
    <col min="10752" max="10752" width="17.453125" style="70" customWidth="1"/>
    <col min="10753" max="10753" width="14.453125" style="70" customWidth="1"/>
    <col min="10754" max="10754" width="18.453125" style="70" customWidth="1"/>
    <col min="10755" max="10755" width="15.453125" style="70" customWidth="1"/>
    <col min="10756" max="10992" width="9.1796875" style="70"/>
    <col min="10993" max="10993" width="11.453125" style="70" customWidth="1"/>
    <col min="10994" max="10994" width="53" style="70" customWidth="1"/>
    <col min="10995" max="10995" width="20.54296875" style="70" customWidth="1"/>
    <col min="10996" max="10996" width="18.54296875" style="70" customWidth="1"/>
    <col min="10997" max="10997" width="19.453125" style="70" customWidth="1"/>
    <col min="10998" max="10998" width="20.54296875" style="70" customWidth="1"/>
    <col min="10999" max="10999" width="24.1796875" style="70" customWidth="1"/>
    <col min="11000" max="11001" width="20.54296875" style="70" customWidth="1"/>
    <col min="11002" max="11002" width="17.1796875" style="70" customWidth="1"/>
    <col min="11003" max="11003" width="14.54296875" style="70" customWidth="1"/>
    <col min="11004" max="11004" width="13.1796875" style="70" customWidth="1"/>
    <col min="11005" max="11005" width="20" style="70" customWidth="1"/>
    <col min="11006" max="11006" width="15.81640625" style="70" customWidth="1"/>
    <col min="11007" max="11007" width="14.453125" style="70" customWidth="1"/>
    <col min="11008" max="11008" width="17.453125" style="70" customWidth="1"/>
    <col min="11009" max="11009" width="14.453125" style="70" customWidth="1"/>
    <col min="11010" max="11010" width="18.453125" style="70" customWidth="1"/>
    <col min="11011" max="11011" width="15.453125" style="70" customWidth="1"/>
    <col min="11012" max="11248" width="9.1796875" style="70"/>
    <col min="11249" max="11249" width="11.453125" style="70" customWidth="1"/>
    <col min="11250" max="11250" width="53" style="70" customWidth="1"/>
    <col min="11251" max="11251" width="20.54296875" style="70" customWidth="1"/>
    <col min="11252" max="11252" width="18.54296875" style="70" customWidth="1"/>
    <col min="11253" max="11253" width="19.453125" style="70" customWidth="1"/>
    <col min="11254" max="11254" width="20.54296875" style="70" customWidth="1"/>
    <col min="11255" max="11255" width="24.1796875" style="70" customWidth="1"/>
    <col min="11256" max="11257" width="20.54296875" style="70" customWidth="1"/>
    <col min="11258" max="11258" width="17.1796875" style="70" customWidth="1"/>
    <col min="11259" max="11259" width="14.54296875" style="70" customWidth="1"/>
    <col min="11260" max="11260" width="13.1796875" style="70" customWidth="1"/>
    <col min="11261" max="11261" width="20" style="70" customWidth="1"/>
    <col min="11262" max="11262" width="15.81640625" style="70" customWidth="1"/>
    <col min="11263" max="11263" width="14.453125" style="70" customWidth="1"/>
    <col min="11264" max="11264" width="17.453125" style="70" customWidth="1"/>
    <col min="11265" max="11265" width="14.453125" style="70" customWidth="1"/>
    <col min="11266" max="11266" width="18.453125" style="70" customWidth="1"/>
    <col min="11267" max="11267" width="15.453125" style="70" customWidth="1"/>
    <col min="11268" max="11504" width="9.1796875" style="70"/>
    <col min="11505" max="11505" width="11.453125" style="70" customWidth="1"/>
    <col min="11506" max="11506" width="53" style="70" customWidth="1"/>
    <col min="11507" max="11507" width="20.54296875" style="70" customWidth="1"/>
    <col min="11508" max="11508" width="18.54296875" style="70" customWidth="1"/>
    <col min="11509" max="11509" width="19.453125" style="70" customWidth="1"/>
    <col min="11510" max="11510" width="20.54296875" style="70" customWidth="1"/>
    <col min="11511" max="11511" width="24.1796875" style="70" customWidth="1"/>
    <col min="11512" max="11513" width="20.54296875" style="70" customWidth="1"/>
    <col min="11514" max="11514" width="17.1796875" style="70" customWidth="1"/>
    <col min="11515" max="11515" width="14.54296875" style="70" customWidth="1"/>
    <col min="11516" max="11516" width="13.1796875" style="70" customWidth="1"/>
    <col min="11517" max="11517" width="20" style="70" customWidth="1"/>
    <col min="11518" max="11518" width="15.81640625" style="70" customWidth="1"/>
    <col min="11519" max="11519" width="14.453125" style="70" customWidth="1"/>
    <col min="11520" max="11520" width="17.453125" style="70" customWidth="1"/>
    <col min="11521" max="11521" width="14.453125" style="70" customWidth="1"/>
    <col min="11522" max="11522" width="18.453125" style="70" customWidth="1"/>
    <col min="11523" max="11523" width="15.453125" style="70" customWidth="1"/>
    <col min="11524" max="11760" width="9.1796875" style="70"/>
    <col min="11761" max="11761" width="11.453125" style="70" customWidth="1"/>
    <col min="11762" max="11762" width="53" style="70" customWidth="1"/>
    <col min="11763" max="11763" width="20.54296875" style="70" customWidth="1"/>
    <col min="11764" max="11764" width="18.54296875" style="70" customWidth="1"/>
    <col min="11765" max="11765" width="19.453125" style="70" customWidth="1"/>
    <col min="11766" max="11766" width="20.54296875" style="70" customWidth="1"/>
    <col min="11767" max="11767" width="24.1796875" style="70" customWidth="1"/>
    <col min="11768" max="11769" width="20.54296875" style="70" customWidth="1"/>
    <col min="11770" max="11770" width="17.1796875" style="70" customWidth="1"/>
    <col min="11771" max="11771" width="14.54296875" style="70" customWidth="1"/>
    <col min="11772" max="11772" width="13.1796875" style="70" customWidth="1"/>
    <col min="11773" max="11773" width="20" style="70" customWidth="1"/>
    <col min="11774" max="11774" width="15.81640625" style="70" customWidth="1"/>
    <col min="11775" max="11775" width="14.453125" style="70" customWidth="1"/>
    <col min="11776" max="11776" width="17.453125" style="70" customWidth="1"/>
    <col min="11777" max="11777" width="14.453125" style="70" customWidth="1"/>
    <col min="11778" max="11778" width="18.453125" style="70" customWidth="1"/>
    <col min="11779" max="11779" width="15.453125" style="70" customWidth="1"/>
    <col min="11780" max="12016" width="9.1796875" style="70"/>
    <col min="12017" max="12017" width="11.453125" style="70" customWidth="1"/>
    <col min="12018" max="12018" width="53" style="70" customWidth="1"/>
    <col min="12019" max="12019" width="20.54296875" style="70" customWidth="1"/>
    <col min="12020" max="12020" width="18.54296875" style="70" customWidth="1"/>
    <col min="12021" max="12021" width="19.453125" style="70" customWidth="1"/>
    <col min="12022" max="12022" width="20.54296875" style="70" customWidth="1"/>
    <col min="12023" max="12023" width="24.1796875" style="70" customWidth="1"/>
    <col min="12024" max="12025" width="20.54296875" style="70" customWidth="1"/>
    <col min="12026" max="12026" width="17.1796875" style="70" customWidth="1"/>
    <col min="12027" max="12027" width="14.54296875" style="70" customWidth="1"/>
    <col min="12028" max="12028" width="13.1796875" style="70" customWidth="1"/>
    <col min="12029" max="12029" width="20" style="70" customWidth="1"/>
    <col min="12030" max="12030" width="15.81640625" style="70" customWidth="1"/>
    <col min="12031" max="12031" width="14.453125" style="70" customWidth="1"/>
    <col min="12032" max="12032" width="17.453125" style="70" customWidth="1"/>
    <col min="12033" max="12033" width="14.453125" style="70" customWidth="1"/>
    <col min="12034" max="12034" width="18.453125" style="70" customWidth="1"/>
    <col min="12035" max="12035" width="15.453125" style="70" customWidth="1"/>
    <col min="12036" max="12272" width="9.1796875" style="70"/>
    <col min="12273" max="12273" width="11.453125" style="70" customWidth="1"/>
    <col min="12274" max="12274" width="53" style="70" customWidth="1"/>
    <col min="12275" max="12275" width="20.54296875" style="70" customWidth="1"/>
    <col min="12276" max="12276" width="18.54296875" style="70" customWidth="1"/>
    <col min="12277" max="12277" width="19.453125" style="70" customWidth="1"/>
    <col min="12278" max="12278" width="20.54296875" style="70" customWidth="1"/>
    <col min="12279" max="12279" width="24.1796875" style="70" customWidth="1"/>
    <col min="12280" max="12281" width="20.54296875" style="70" customWidth="1"/>
    <col min="12282" max="12282" width="17.1796875" style="70" customWidth="1"/>
    <col min="12283" max="12283" width="14.54296875" style="70" customWidth="1"/>
    <col min="12284" max="12284" width="13.1796875" style="70" customWidth="1"/>
    <col min="12285" max="12285" width="20" style="70" customWidth="1"/>
    <col min="12286" max="12286" width="15.81640625" style="70" customWidth="1"/>
    <col min="12287" max="12287" width="14.453125" style="70" customWidth="1"/>
    <col min="12288" max="12288" width="17.453125" style="70" customWidth="1"/>
    <col min="12289" max="12289" width="14.453125" style="70" customWidth="1"/>
    <col min="12290" max="12290" width="18.453125" style="70" customWidth="1"/>
    <col min="12291" max="12291" width="15.453125" style="70" customWidth="1"/>
    <col min="12292" max="12528" width="9.1796875" style="70"/>
    <col min="12529" max="12529" width="11.453125" style="70" customWidth="1"/>
    <col min="12530" max="12530" width="53" style="70" customWidth="1"/>
    <col min="12531" max="12531" width="20.54296875" style="70" customWidth="1"/>
    <col min="12532" max="12532" width="18.54296875" style="70" customWidth="1"/>
    <col min="12533" max="12533" width="19.453125" style="70" customWidth="1"/>
    <col min="12534" max="12534" width="20.54296875" style="70" customWidth="1"/>
    <col min="12535" max="12535" width="24.1796875" style="70" customWidth="1"/>
    <col min="12536" max="12537" width="20.54296875" style="70" customWidth="1"/>
    <col min="12538" max="12538" width="17.1796875" style="70" customWidth="1"/>
    <col min="12539" max="12539" width="14.54296875" style="70" customWidth="1"/>
    <col min="12540" max="12540" width="13.1796875" style="70" customWidth="1"/>
    <col min="12541" max="12541" width="20" style="70" customWidth="1"/>
    <col min="12542" max="12542" width="15.81640625" style="70" customWidth="1"/>
    <col min="12543" max="12543" width="14.453125" style="70" customWidth="1"/>
    <col min="12544" max="12544" width="17.453125" style="70" customWidth="1"/>
    <col min="12545" max="12545" width="14.453125" style="70" customWidth="1"/>
    <col min="12546" max="12546" width="18.453125" style="70" customWidth="1"/>
    <col min="12547" max="12547" width="15.453125" style="70" customWidth="1"/>
    <col min="12548" max="12784" width="9.1796875" style="70"/>
    <col min="12785" max="12785" width="11.453125" style="70" customWidth="1"/>
    <col min="12786" max="12786" width="53" style="70" customWidth="1"/>
    <col min="12787" max="12787" width="20.54296875" style="70" customWidth="1"/>
    <col min="12788" max="12788" width="18.54296875" style="70" customWidth="1"/>
    <col min="12789" max="12789" width="19.453125" style="70" customWidth="1"/>
    <col min="12790" max="12790" width="20.54296875" style="70" customWidth="1"/>
    <col min="12791" max="12791" width="24.1796875" style="70" customWidth="1"/>
    <col min="12792" max="12793" width="20.54296875" style="70" customWidth="1"/>
    <col min="12794" max="12794" width="17.1796875" style="70" customWidth="1"/>
    <col min="12795" max="12795" width="14.54296875" style="70" customWidth="1"/>
    <col min="12796" max="12796" width="13.1796875" style="70" customWidth="1"/>
    <col min="12797" max="12797" width="20" style="70" customWidth="1"/>
    <col min="12798" max="12798" width="15.81640625" style="70" customWidth="1"/>
    <col min="12799" max="12799" width="14.453125" style="70" customWidth="1"/>
    <col min="12800" max="12800" width="17.453125" style="70" customWidth="1"/>
    <col min="12801" max="12801" width="14.453125" style="70" customWidth="1"/>
    <col min="12802" max="12802" width="18.453125" style="70" customWidth="1"/>
    <col min="12803" max="12803" width="15.453125" style="70" customWidth="1"/>
    <col min="12804" max="13040" width="9.1796875" style="70"/>
    <col min="13041" max="13041" width="11.453125" style="70" customWidth="1"/>
    <col min="13042" max="13042" width="53" style="70" customWidth="1"/>
    <col min="13043" max="13043" width="20.54296875" style="70" customWidth="1"/>
    <col min="13044" max="13044" width="18.54296875" style="70" customWidth="1"/>
    <col min="13045" max="13045" width="19.453125" style="70" customWidth="1"/>
    <col min="13046" max="13046" width="20.54296875" style="70" customWidth="1"/>
    <col min="13047" max="13047" width="24.1796875" style="70" customWidth="1"/>
    <col min="13048" max="13049" width="20.54296875" style="70" customWidth="1"/>
    <col min="13050" max="13050" width="17.1796875" style="70" customWidth="1"/>
    <col min="13051" max="13051" width="14.54296875" style="70" customWidth="1"/>
    <col min="13052" max="13052" width="13.1796875" style="70" customWidth="1"/>
    <col min="13053" max="13053" width="20" style="70" customWidth="1"/>
    <col min="13054" max="13054" width="15.81640625" style="70" customWidth="1"/>
    <col min="13055" max="13055" width="14.453125" style="70" customWidth="1"/>
    <col min="13056" max="13056" width="17.453125" style="70" customWidth="1"/>
    <col min="13057" max="13057" width="14.453125" style="70" customWidth="1"/>
    <col min="13058" max="13058" width="18.453125" style="70" customWidth="1"/>
    <col min="13059" max="13059" width="15.453125" style="70" customWidth="1"/>
    <col min="13060" max="13296" width="9.1796875" style="70"/>
    <col min="13297" max="13297" width="11.453125" style="70" customWidth="1"/>
    <col min="13298" max="13298" width="53" style="70" customWidth="1"/>
    <col min="13299" max="13299" width="20.54296875" style="70" customWidth="1"/>
    <col min="13300" max="13300" width="18.54296875" style="70" customWidth="1"/>
    <col min="13301" max="13301" width="19.453125" style="70" customWidth="1"/>
    <col min="13302" max="13302" width="20.54296875" style="70" customWidth="1"/>
    <col min="13303" max="13303" width="24.1796875" style="70" customWidth="1"/>
    <col min="13304" max="13305" width="20.54296875" style="70" customWidth="1"/>
    <col min="13306" max="13306" width="17.1796875" style="70" customWidth="1"/>
    <col min="13307" max="13307" width="14.54296875" style="70" customWidth="1"/>
    <col min="13308" max="13308" width="13.1796875" style="70" customWidth="1"/>
    <col min="13309" max="13309" width="20" style="70" customWidth="1"/>
    <col min="13310" max="13310" width="15.81640625" style="70" customWidth="1"/>
    <col min="13311" max="13311" width="14.453125" style="70" customWidth="1"/>
    <col min="13312" max="13312" width="17.453125" style="70" customWidth="1"/>
    <col min="13313" max="13313" width="14.453125" style="70" customWidth="1"/>
    <col min="13314" max="13314" width="18.453125" style="70" customWidth="1"/>
    <col min="13315" max="13315" width="15.453125" style="70" customWidth="1"/>
    <col min="13316" max="13552" width="9.1796875" style="70"/>
    <col min="13553" max="13553" width="11.453125" style="70" customWidth="1"/>
    <col min="13554" max="13554" width="53" style="70" customWidth="1"/>
    <col min="13555" max="13555" width="20.54296875" style="70" customWidth="1"/>
    <col min="13556" max="13556" width="18.54296875" style="70" customWidth="1"/>
    <col min="13557" max="13557" width="19.453125" style="70" customWidth="1"/>
    <col min="13558" max="13558" width="20.54296875" style="70" customWidth="1"/>
    <col min="13559" max="13559" width="24.1796875" style="70" customWidth="1"/>
    <col min="13560" max="13561" width="20.54296875" style="70" customWidth="1"/>
    <col min="13562" max="13562" width="17.1796875" style="70" customWidth="1"/>
    <col min="13563" max="13563" width="14.54296875" style="70" customWidth="1"/>
    <col min="13564" max="13564" width="13.1796875" style="70" customWidth="1"/>
    <col min="13565" max="13565" width="20" style="70" customWidth="1"/>
    <col min="13566" max="13566" width="15.81640625" style="70" customWidth="1"/>
    <col min="13567" max="13567" width="14.453125" style="70" customWidth="1"/>
    <col min="13568" max="13568" width="17.453125" style="70" customWidth="1"/>
    <col min="13569" max="13569" width="14.453125" style="70" customWidth="1"/>
    <col min="13570" max="13570" width="18.453125" style="70" customWidth="1"/>
    <col min="13571" max="13571" width="15.453125" style="70" customWidth="1"/>
    <col min="13572" max="13808" width="9.1796875" style="70"/>
    <col min="13809" max="13809" width="11.453125" style="70" customWidth="1"/>
    <col min="13810" max="13810" width="53" style="70" customWidth="1"/>
    <col min="13811" max="13811" width="20.54296875" style="70" customWidth="1"/>
    <col min="13812" max="13812" width="18.54296875" style="70" customWidth="1"/>
    <col min="13813" max="13813" width="19.453125" style="70" customWidth="1"/>
    <col min="13814" max="13814" width="20.54296875" style="70" customWidth="1"/>
    <col min="13815" max="13815" width="24.1796875" style="70" customWidth="1"/>
    <col min="13816" max="13817" width="20.54296875" style="70" customWidth="1"/>
    <col min="13818" max="13818" width="17.1796875" style="70" customWidth="1"/>
    <col min="13819" max="13819" width="14.54296875" style="70" customWidth="1"/>
    <col min="13820" max="13820" width="13.1796875" style="70" customWidth="1"/>
    <col min="13821" max="13821" width="20" style="70" customWidth="1"/>
    <col min="13822" max="13822" width="15.81640625" style="70" customWidth="1"/>
    <col min="13823" max="13823" width="14.453125" style="70" customWidth="1"/>
    <col min="13824" max="13824" width="17.453125" style="70" customWidth="1"/>
    <col min="13825" max="13825" width="14.453125" style="70" customWidth="1"/>
    <col min="13826" max="13826" width="18.453125" style="70" customWidth="1"/>
    <col min="13827" max="13827" width="15.453125" style="70" customWidth="1"/>
    <col min="13828" max="14064" width="9.1796875" style="70"/>
    <col min="14065" max="14065" width="11.453125" style="70" customWidth="1"/>
    <col min="14066" max="14066" width="53" style="70" customWidth="1"/>
    <col min="14067" max="14067" width="20.54296875" style="70" customWidth="1"/>
    <col min="14068" max="14068" width="18.54296875" style="70" customWidth="1"/>
    <col min="14069" max="14069" width="19.453125" style="70" customWidth="1"/>
    <col min="14070" max="14070" width="20.54296875" style="70" customWidth="1"/>
    <col min="14071" max="14071" width="24.1796875" style="70" customWidth="1"/>
    <col min="14072" max="14073" width="20.54296875" style="70" customWidth="1"/>
    <col min="14074" max="14074" width="17.1796875" style="70" customWidth="1"/>
    <col min="14075" max="14075" width="14.54296875" style="70" customWidth="1"/>
    <col min="14076" max="14076" width="13.1796875" style="70" customWidth="1"/>
    <col min="14077" max="14077" width="20" style="70" customWidth="1"/>
    <col min="14078" max="14078" width="15.81640625" style="70" customWidth="1"/>
    <col min="14079" max="14079" width="14.453125" style="70" customWidth="1"/>
    <col min="14080" max="14080" width="17.453125" style="70" customWidth="1"/>
    <col min="14081" max="14081" width="14.453125" style="70" customWidth="1"/>
    <col min="14082" max="14082" width="18.453125" style="70" customWidth="1"/>
    <col min="14083" max="14083" width="15.453125" style="70" customWidth="1"/>
    <col min="14084" max="14320" width="9.1796875" style="70"/>
    <col min="14321" max="14321" width="11.453125" style="70" customWidth="1"/>
    <col min="14322" max="14322" width="53" style="70" customWidth="1"/>
    <col min="14323" max="14323" width="20.54296875" style="70" customWidth="1"/>
    <col min="14324" max="14324" width="18.54296875" style="70" customWidth="1"/>
    <col min="14325" max="14325" width="19.453125" style="70" customWidth="1"/>
    <col min="14326" max="14326" width="20.54296875" style="70" customWidth="1"/>
    <col min="14327" max="14327" width="24.1796875" style="70" customWidth="1"/>
    <col min="14328" max="14329" width="20.54296875" style="70" customWidth="1"/>
    <col min="14330" max="14330" width="17.1796875" style="70" customWidth="1"/>
    <col min="14331" max="14331" width="14.54296875" style="70" customWidth="1"/>
    <col min="14332" max="14332" width="13.1796875" style="70" customWidth="1"/>
    <col min="14333" max="14333" width="20" style="70" customWidth="1"/>
    <col min="14334" max="14334" width="15.81640625" style="70" customWidth="1"/>
    <col min="14335" max="14335" width="14.453125" style="70" customWidth="1"/>
    <col min="14336" max="14336" width="17.453125" style="70" customWidth="1"/>
    <col min="14337" max="14337" width="14.453125" style="70" customWidth="1"/>
    <col min="14338" max="14338" width="18.453125" style="70" customWidth="1"/>
    <col min="14339" max="14339" width="15.453125" style="70" customWidth="1"/>
    <col min="14340" max="14576" width="9.1796875" style="70"/>
    <col min="14577" max="14577" width="11.453125" style="70" customWidth="1"/>
    <col min="14578" max="14578" width="53" style="70" customWidth="1"/>
    <col min="14579" max="14579" width="20.54296875" style="70" customWidth="1"/>
    <col min="14580" max="14580" width="18.54296875" style="70" customWidth="1"/>
    <col min="14581" max="14581" width="19.453125" style="70" customWidth="1"/>
    <col min="14582" max="14582" width="20.54296875" style="70" customWidth="1"/>
    <col min="14583" max="14583" width="24.1796875" style="70" customWidth="1"/>
    <col min="14584" max="14585" width="20.54296875" style="70" customWidth="1"/>
    <col min="14586" max="14586" width="17.1796875" style="70" customWidth="1"/>
    <col min="14587" max="14587" width="14.54296875" style="70" customWidth="1"/>
    <col min="14588" max="14588" width="13.1796875" style="70" customWidth="1"/>
    <col min="14589" max="14589" width="20" style="70" customWidth="1"/>
    <col min="14590" max="14590" width="15.81640625" style="70" customWidth="1"/>
    <col min="14591" max="14591" width="14.453125" style="70" customWidth="1"/>
    <col min="14592" max="14592" width="17.453125" style="70" customWidth="1"/>
    <col min="14593" max="14593" width="14.453125" style="70" customWidth="1"/>
    <col min="14594" max="14594" width="18.453125" style="70" customWidth="1"/>
    <col min="14595" max="14595" width="15.453125" style="70" customWidth="1"/>
    <col min="14596" max="14832" width="9.1796875" style="70"/>
    <col min="14833" max="14833" width="11.453125" style="70" customWidth="1"/>
    <col min="14834" max="14834" width="53" style="70" customWidth="1"/>
    <col min="14835" max="14835" width="20.54296875" style="70" customWidth="1"/>
    <col min="14836" max="14836" width="18.54296875" style="70" customWidth="1"/>
    <col min="14837" max="14837" width="19.453125" style="70" customWidth="1"/>
    <col min="14838" max="14838" width="20.54296875" style="70" customWidth="1"/>
    <col min="14839" max="14839" width="24.1796875" style="70" customWidth="1"/>
    <col min="14840" max="14841" width="20.54296875" style="70" customWidth="1"/>
    <col min="14842" max="14842" width="17.1796875" style="70" customWidth="1"/>
    <col min="14843" max="14843" width="14.54296875" style="70" customWidth="1"/>
    <col min="14844" max="14844" width="13.1796875" style="70" customWidth="1"/>
    <col min="14845" max="14845" width="20" style="70" customWidth="1"/>
    <col min="14846" max="14846" width="15.81640625" style="70" customWidth="1"/>
    <col min="14847" max="14847" width="14.453125" style="70" customWidth="1"/>
    <col min="14848" max="14848" width="17.453125" style="70" customWidth="1"/>
    <col min="14849" max="14849" width="14.453125" style="70" customWidth="1"/>
    <col min="14850" max="14850" width="18.453125" style="70" customWidth="1"/>
    <col min="14851" max="14851" width="15.453125" style="70" customWidth="1"/>
    <col min="14852" max="15088" width="9.1796875" style="70"/>
    <col min="15089" max="15089" width="11.453125" style="70" customWidth="1"/>
    <col min="15090" max="15090" width="53" style="70" customWidth="1"/>
    <col min="15091" max="15091" width="20.54296875" style="70" customWidth="1"/>
    <col min="15092" max="15092" width="18.54296875" style="70" customWidth="1"/>
    <col min="15093" max="15093" width="19.453125" style="70" customWidth="1"/>
    <col min="15094" max="15094" width="20.54296875" style="70" customWidth="1"/>
    <col min="15095" max="15095" width="24.1796875" style="70" customWidth="1"/>
    <col min="15096" max="15097" width="20.54296875" style="70" customWidth="1"/>
    <col min="15098" max="15098" width="17.1796875" style="70" customWidth="1"/>
    <col min="15099" max="15099" width="14.54296875" style="70" customWidth="1"/>
    <col min="15100" max="15100" width="13.1796875" style="70" customWidth="1"/>
    <col min="15101" max="15101" width="20" style="70" customWidth="1"/>
    <col min="15102" max="15102" width="15.81640625" style="70" customWidth="1"/>
    <col min="15103" max="15103" width="14.453125" style="70" customWidth="1"/>
    <col min="15104" max="15104" width="17.453125" style="70" customWidth="1"/>
    <col min="15105" max="15105" width="14.453125" style="70" customWidth="1"/>
    <col min="15106" max="15106" width="18.453125" style="70" customWidth="1"/>
    <col min="15107" max="15107" width="15.453125" style="70" customWidth="1"/>
    <col min="15108" max="15344" width="9.1796875" style="70"/>
    <col min="15345" max="15345" width="11.453125" style="70" customWidth="1"/>
    <col min="15346" max="15346" width="53" style="70" customWidth="1"/>
    <col min="15347" max="15347" width="20.54296875" style="70" customWidth="1"/>
    <col min="15348" max="15348" width="18.54296875" style="70" customWidth="1"/>
    <col min="15349" max="15349" width="19.453125" style="70" customWidth="1"/>
    <col min="15350" max="15350" width="20.54296875" style="70" customWidth="1"/>
    <col min="15351" max="15351" width="24.1796875" style="70" customWidth="1"/>
    <col min="15352" max="15353" width="20.54296875" style="70" customWidth="1"/>
    <col min="15354" max="15354" width="17.1796875" style="70" customWidth="1"/>
    <col min="15355" max="15355" width="14.54296875" style="70" customWidth="1"/>
    <col min="15356" max="15356" width="13.1796875" style="70" customWidth="1"/>
    <col min="15357" max="15357" width="20" style="70" customWidth="1"/>
    <col min="15358" max="15358" width="15.81640625" style="70" customWidth="1"/>
    <col min="15359" max="15359" width="14.453125" style="70" customWidth="1"/>
    <col min="15360" max="15360" width="17.453125" style="70" customWidth="1"/>
    <col min="15361" max="15361" width="14.453125" style="70" customWidth="1"/>
    <col min="15362" max="15362" width="18.453125" style="70" customWidth="1"/>
    <col min="15363" max="15363" width="15.453125" style="70" customWidth="1"/>
    <col min="15364" max="15600" width="9.1796875" style="70"/>
    <col min="15601" max="15601" width="11.453125" style="70" customWidth="1"/>
    <col min="15602" max="15602" width="53" style="70" customWidth="1"/>
    <col min="15603" max="15603" width="20.54296875" style="70" customWidth="1"/>
    <col min="15604" max="15604" width="18.54296875" style="70" customWidth="1"/>
    <col min="15605" max="15605" width="19.453125" style="70" customWidth="1"/>
    <col min="15606" max="15606" width="20.54296875" style="70" customWidth="1"/>
    <col min="15607" max="15607" width="24.1796875" style="70" customWidth="1"/>
    <col min="15608" max="15609" width="20.54296875" style="70" customWidth="1"/>
    <col min="15610" max="15610" width="17.1796875" style="70" customWidth="1"/>
    <col min="15611" max="15611" width="14.54296875" style="70" customWidth="1"/>
    <col min="15612" max="15612" width="13.1796875" style="70" customWidth="1"/>
    <col min="15613" max="15613" width="20" style="70" customWidth="1"/>
    <col min="15614" max="15614" width="15.81640625" style="70" customWidth="1"/>
    <col min="15615" max="15615" width="14.453125" style="70" customWidth="1"/>
    <col min="15616" max="15616" width="17.453125" style="70" customWidth="1"/>
    <col min="15617" max="15617" width="14.453125" style="70" customWidth="1"/>
    <col min="15618" max="15618" width="18.453125" style="70" customWidth="1"/>
    <col min="15619" max="15619" width="15.453125" style="70" customWidth="1"/>
    <col min="15620" max="15856" width="9.1796875" style="70"/>
    <col min="15857" max="15857" width="11.453125" style="70" customWidth="1"/>
    <col min="15858" max="15858" width="53" style="70" customWidth="1"/>
    <col min="15859" max="15859" width="20.54296875" style="70" customWidth="1"/>
    <col min="15860" max="15860" width="18.54296875" style="70" customWidth="1"/>
    <col min="15861" max="15861" width="19.453125" style="70" customWidth="1"/>
    <col min="15862" max="15862" width="20.54296875" style="70" customWidth="1"/>
    <col min="15863" max="15863" width="24.1796875" style="70" customWidth="1"/>
    <col min="15864" max="15865" width="20.54296875" style="70" customWidth="1"/>
    <col min="15866" max="15866" width="17.1796875" style="70" customWidth="1"/>
    <col min="15867" max="15867" width="14.54296875" style="70" customWidth="1"/>
    <col min="15868" max="15868" width="13.1796875" style="70" customWidth="1"/>
    <col min="15869" max="15869" width="20" style="70" customWidth="1"/>
    <col min="15870" max="15870" width="15.81640625" style="70" customWidth="1"/>
    <col min="15871" max="15871" width="14.453125" style="70" customWidth="1"/>
    <col min="15872" max="15872" width="17.453125" style="70" customWidth="1"/>
    <col min="15873" max="15873" width="14.453125" style="70" customWidth="1"/>
    <col min="15874" max="15874" width="18.453125" style="70" customWidth="1"/>
    <col min="15875" max="15875" width="15.453125" style="70" customWidth="1"/>
    <col min="15876" max="16112" width="9.1796875" style="70"/>
    <col min="16113" max="16113" width="11.453125" style="70" customWidth="1"/>
    <col min="16114" max="16114" width="53" style="70" customWidth="1"/>
    <col min="16115" max="16115" width="20.54296875" style="70" customWidth="1"/>
    <col min="16116" max="16116" width="18.54296875" style="70" customWidth="1"/>
    <col min="16117" max="16117" width="19.453125" style="70" customWidth="1"/>
    <col min="16118" max="16118" width="20.54296875" style="70" customWidth="1"/>
    <col min="16119" max="16119" width="24.1796875" style="70" customWidth="1"/>
    <col min="16120" max="16121" width="20.54296875" style="70" customWidth="1"/>
    <col min="16122" max="16122" width="17.1796875" style="70" customWidth="1"/>
    <col min="16123" max="16123" width="14.54296875" style="70" customWidth="1"/>
    <col min="16124" max="16124" width="13.1796875" style="70" customWidth="1"/>
    <col min="16125" max="16125" width="20" style="70" customWidth="1"/>
    <col min="16126" max="16126" width="15.81640625" style="70" customWidth="1"/>
    <col min="16127" max="16127" width="14.453125" style="70" customWidth="1"/>
    <col min="16128" max="16128" width="17.453125" style="70" customWidth="1"/>
    <col min="16129" max="16129" width="14.453125" style="70" customWidth="1"/>
    <col min="16130" max="16130" width="18.453125" style="70" customWidth="1"/>
    <col min="16131" max="16131" width="15.453125" style="70" customWidth="1"/>
    <col min="16132" max="16384" width="9.1796875" style="70"/>
  </cols>
  <sheetData>
    <row r="1" spans="1:19" x14ac:dyDescent="0.35">
      <c r="A1" s="63" t="s">
        <v>759</v>
      </c>
    </row>
    <row r="2" spans="1:19" x14ac:dyDescent="0.35">
      <c r="A2" s="171" t="s">
        <v>521</v>
      </c>
      <c r="D2" s="66"/>
      <c r="E2" s="66"/>
      <c r="F2" s="66"/>
      <c r="G2" s="66"/>
    </row>
    <row r="4" spans="1:19" x14ac:dyDescent="0.35">
      <c r="A4" s="172" t="s">
        <v>760</v>
      </c>
    </row>
    <row r="8" spans="1:19" x14ac:dyDescent="0.35">
      <c r="A8" s="171" t="s">
        <v>521</v>
      </c>
    </row>
    <row r="10" spans="1:19" x14ac:dyDescent="0.35">
      <c r="C10" s="173"/>
      <c r="D10" s="253" t="s">
        <v>166</v>
      </c>
      <c r="E10" s="253" t="s">
        <v>761</v>
      </c>
      <c r="F10" s="253" t="s">
        <v>762</v>
      </c>
      <c r="G10" s="253" t="s">
        <v>763</v>
      </c>
      <c r="H10" s="253" t="s">
        <v>764</v>
      </c>
      <c r="I10" s="174"/>
      <c r="J10" s="174"/>
      <c r="K10" s="174"/>
      <c r="L10" s="174"/>
      <c r="M10" s="174"/>
    </row>
    <row r="11" spans="1:19" x14ac:dyDescent="0.35">
      <c r="C11" s="173"/>
      <c r="D11" s="254" t="s">
        <v>4</v>
      </c>
      <c r="E11" s="254" t="s">
        <v>183</v>
      </c>
      <c r="F11" s="254" t="s">
        <v>184</v>
      </c>
      <c r="G11" s="254" t="s">
        <v>185</v>
      </c>
      <c r="H11" s="254" t="s">
        <v>186</v>
      </c>
      <c r="I11" s="174"/>
      <c r="J11" s="174"/>
      <c r="K11" s="174"/>
      <c r="L11" s="174"/>
      <c r="M11" s="174"/>
    </row>
    <row r="12" spans="1:19" ht="29" x14ac:dyDescent="0.35">
      <c r="B12" s="255" t="s">
        <v>765</v>
      </c>
      <c r="C12" s="254"/>
      <c r="D12" s="69"/>
      <c r="E12" s="69"/>
      <c r="F12" s="69"/>
      <c r="G12" s="69"/>
      <c r="H12" s="69"/>
      <c r="I12" s="174"/>
      <c r="J12" s="174"/>
      <c r="K12" s="174"/>
      <c r="M12" s="174"/>
    </row>
    <row r="13" spans="1:19" x14ac:dyDescent="0.35">
      <c r="B13" s="256" t="s">
        <v>766</v>
      </c>
      <c r="C13" s="254" t="s">
        <v>7</v>
      </c>
      <c r="D13" s="257">
        <v>104431</v>
      </c>
      <c r="E13" s="257">
        <v>104431</v>
      </c>
      <c r="F13" s="69"/>
      <c r="G13" s="258"/>
      <c r="H13" s="69"/>
      <c r="I13" s="107"/>
      <c r="J13" s="107"/>
      <c r="K13" s="107"/>
      <c r="L13" s="175"/>
      <c r="N13" s="107"/>
      <c r="O13" s="107"/>
      <c r="P13" s="107"/>
      <c r="Q13" s="107"/>
      <c r="R13" s="107"/>
      <c r="S13" s="107"/>
    </row>
    <row r="14" spans="1:19" x14ac:dyDescent="0.35">
      <c r="B14" s="259" t="s">
        <v>767</v>
      </c>
      <c r="C14" s="254" t="s">
        <v>11</v>
      </c>
      <c r="D14" s="258"/>
      <c r="E14" s="258"/>
      <c r="F14" s="69"/>
      <c r="G14" s="258"/>
      <c r="H14" s="69"/>
      <c r="I14" s="107"/>
      <c r="J14" s="107"/>
      <c r="K14" s="107"/>
      <c r="L14" s="175"/>
      <c r="N14" s="107"/>
      <c r="O14" s="107"/>
      <c r="P14" s="107"/>
      <c r="Q14" s="107"/>
      <c r="R14" s="107"/>
      <c r="S14" s="107"/>
    </row>
    <row r="15" spans="1:19" x14ac:dyDescent="0.35">
      <c r="B15" s="259" t="s">
        <v>768</v>
      </c>
      <c r="C15" s="254" t="s">
        <v>13</v>
      </c>
      <c r="D15" s="258"/>
      <c r="E15" s="258"/>
      <c r="F15" s="69"/>
      <c r="G15" s="258"/>
      <c r="H15" s="69"/>
      <c r="I15" s="107"/>
      <c r="J15" s="107"/>
      <c r="K15" s="107"/>
      <c r="L15" s="175"/>
      <c r="N15" s="107"/>
      <c r="O15" s="107"/>
      <c r="P15" s="107"/>
      <c r="Q15" s="107"/>
      <c r="R15" s="107"/>
      <c r="S15" s="107"/>
    </row>
    <row r="16" spans="1:19" x14ac:dyDescent="0.35">
      <c r="B16" s="256" t="s">
        <v>769</v>
      </c>
      <c r="C16" s="254" t="s">
        <v>15</v>
      </c>
      <c r="D16" s="258"/>
      <c r="E16" s="69"/>
      <c r="F16" s="258"/>
      <c r="G16" s="258"/>
      <c r="H16" s="258"/>
      <c r="I16" s="107"/>
      <c r="J16" s="107"/>
      <c r="K16" s="107"/>
      <c r="L16" s="175"/>
      <c r="N16" s="107"/>
      <c r="O16" s="107"/>
      <c r="P16" s="107"/>
      <c r="Q16" s="107"/>
      <c r="R16" s="107"/>
      <c r="S16" s="107"/>
    </row>
    <row r="17" spans="2:22" x14ac:dyDescent="0.35">
      <c r="B17" s="259" t="s">
        <v>770</v>
      </c>
      <c r="C17" s="254" t="s">
        <v>19</v>
      </c>
      <c r="D17" s="258"/>
      <c r="E17" s="258"/>
      <c r="F17" s="69"/>
      <c r="G17" s="69"/>
      <c r="H17" s="69"/>
      <c r="I17" s="107"/>
      <c r="J17" s="107"/>
      <c r="K17" s="107"/>
      <c r="L17" s="175"/>
      <c r="N17" s="107"/>
      <c r="O17" s="107"/>
      <c r="P17" s="107"/>
      <c r="Q17" s="107"/>
      <c r="R17" s="107"/>
      <c r="S17" s="107"/>
    </row>
    <row r="18" spans="2:22" x14ac:dyDescent="0.35">
      <c r="B18" s="259" t="s">
        <v>771</v>
      </c>
      <c r="C18" s="254" t="s">
        <v>23</v>
      </c>
      <c r="D18" s="258"/>
      <c r="E18" s="69"/>
      <c r="F18" s="258"/>
      <c r="G18" s="258"/>
      <c r="H18" s="258"/>
      <c r="I18" s="107"/>
      <c r="J18" s="107"/>
      <c r="K18" s="107"/>
      <c r="L18" s="175"/>
      <c r="N18" s="107"/>
      <c r="O18" s="107"/>
      <c r="P18" s="107"/>
      <c r="Q18" s="107"/>
      <c r="R18" s="107"/>
      <c r="S18" s="107"/>
    </row>
    <row r="19" spans="2:22" x14ac:dyDescent="0.35">
      <c r="B19" s="259" t="s">
        <v>772</v>
      </c>
      <c r="C19" s="254" t="s">
        <v>27</v>
      </c>
      <c r="D19" s="258"/>
      <c r="E19" s="69"/>
      <c r="F19" s="258"/>
      <c r="G19" s="258"/>
      <c r="H19" s="258"/>
      <c r="I19" s="107"/>
      <c r="J19" s="107"/>
      <c r="K19" s="107"/>
      <c r="L19" s="175"/>
      <c r="N19" s="107"/>
      <c r="O19" s="107"/>
      <c r="P19" s="107"/>
      <c r="Q19" s="107"/>
      <c r="R19" s="107"/>
      <c r="S19" s="107"/>
    </row>
    <row r="20" spans="2:22" x14ac:dyDescent="0.35">
      <c r="B20" s="259" t="s">
        <v>773</v>
      </c>
      <c r="C20" s="254" t="s">
        <v>31</v>
      </c>
      <c r="D20" s="257">
        <v>20580859.753163546</v>
      </c>
      <c r="E20" s="257">
        <v>20580859.753163546</v>
      </c>
      <c r="F20" s="69"/>
      <c r="G20" s="69"/>
      <c r="H20" s="69"/>
      <c r="I20" s="107"/>
      <c r="J20" s="107"/>
      <c r="K20" s="107"/>
      <c r="L20" s="175"/>
      <c r="N20" s="107"/>
      <c r="O20" s="107"/>
      <c r="P20" s="107"/>
      <c r="Q20" s="107"/>
      <c r="R20" s="107"/>
      <c r="S20" s="107"/>
    </row>
    <row r="21" spans="2:22" x14ac:dyDescent="0.35">
      <c r="B21" s="259" t="s">
        <v>148</v>
      </c>
      <c r="C21" s="254" t="s">
        <v>33</v>
      </c>
      <c r="D21" s="257">
        <v>1204735.3548999999</v>
      </c>
      <c r="E21" s="69"/>
      <c r="F21" s="257"/>
      <c r="G21" s="257">
        <v>1204735.3548999999</v>
      </c>
      <c r="H21" s="258"/>
      <c r="I21" s="107"/>
      <c r="J21" s="107"/>
      <c r="K21" s="107"/>
      <c r="L21" s="175"/>
      <c r="N21" s="107"/>
      <c r="O21" s="107"/>
      <c r="P21" s="107"/>
      <c r="Q21" s="107"/>
      <c r="R21" s="107"/>
      <c r="S21" s="107"/>
    </row>
    <row r="22" spans="2:22" x14ac:dyDescent="0.35">
      <c r="B22" s="259" t="s">
        <v>774</v>
      </c>
      <c r="C22" s="254" t="s">
        <v>37</v>
      </c>
      <c r="D22" s="258"/>
      <c r="E22" s="69"/>
      <c r="F22" s="69"/>
      <c r="G22" s="69"/>
      <c r="H22" s="258"/>
      <c r="I22" s="107"/>
      <c r="J22" s="107"/>
      <c r="K22" s="107"/>
      <c r="L22" s="107"/>
      <c r="N22" s="107"/>
      <c r="O22" s="107"/>
      <c r="P22" s="107"/>
      <c r="Q22" s="107"/>
      <c r="R22" s="107"/>
      <c r="S22" s="107"/>
    </row>
    <row r="23" spans="2:22" x14ac:dyDescent="0.35">
      <c r="B23" s="259" t="s">
        <v>775</v>
      </c>
      <c r="C23" s="254" t="s">
        <v>41</v>
      </c>
      <c r="D23" s="257">
        <v>3468156.9170463602</v>
      </c>
      <c r="E23" s="257"/>
      <c r="F23" s="257"/>
      <c r="G23" s="257">
        <v>3468156.9170463602</v>
      </c>
      <c r="H23" s="258"/>
      <c r="I23" s="107"/>
      <c r="J23" s="107"/>
      <c r="K23" s="107"/>
      <c r="L23" s="175"/>
      <c r="N23" s="107"/>
      <c r="O23" s="107"/>
      <c r="P23" s="107"/>
      <c r="Q23" s="107"/>
      <c r="R23" s="107"/>
      <c r="S23" s="107"/>
    </row>
    <row r="24" spans="2:22" ht="29" x14ac:dyDescent="0.35">
      <c r="B24" s="255" t="s">
        <v>776</v>
      </c>
      <c r="C24" s="254"/>
      <c r="D24" s="69"/>
      <c r="E24" s="69"/>
      <c r="F24" s="69"/>
      <c r="G24" s="69"/>
      <c r="H24" s="69"/>
      <c r="I24" s="174"/>
      <c r="J24" s="174"/>
      <c r="K24" s="174"/>
      <c r="M24" s="174"/>
    </row>
    <row r="25" spans="2:22" ht="29" x14ac:dyDescent="0.35">
      <c r="B25" s="259" t="s">
        <v>776</v>
      </c>
      <c r="C25" s="254" t="s">
        <v>49</v>
      </c>
      <c r="D25" s="258"/>
      <c r="E25" s="69"/>
      <c r="F25" s="69"/>
      <c r="G25" s="69"/>
      <c r="H25" s="69"/>
      <c r="I25" s="148"/>
      <c r="J25" s="176"/>
      <c r="K25" s="148"/>
      <c r="L25" s="148"/>
      <c r="M25" s="177"/>
      <c r="N25" s="132"/>
      <c r="O25" s="132"/>
      <c r="P25" s="64"/>
      <c r="Q25" s="64"/>
    </row>
    <row r="26" spans="2:22" x14ac:dyDescent="0.35">
      <c r="B26" s="255" t="s">
        <v>777</v>
      </c>
      <c r="C26" s="254"/>
      <c r="D26" s="69"/>
      <c r="E26" s="69"/>
      <c r="F26" s="69"/>
      <c r="G26" s="69"/>
      <c r="H26" s="69"/>
      <c r="I26" s="174"/>
      <c r="J26" s="174"/>
      <c r="K26" s="174"/>
      <c r="M26" s="174"/>
    </row>
    <row r="27" spans="2:22" x14ac:dyDescent="0.35">
      <c r="B27" s="256" t="s">
        <v>778</v>
      </c>
      <c r="C27" s="254" t="s">
        <v>51</v>
      </c>
      <c r="D27" s="260"/>
      <c r="E27" s="260"/>
      <c r="F27" s="260"/>
      <c r="G27" s="258"/>
      <c r="H27" s="258"/>
      <c r="I27" s="148"/>
      <c r="J27" s="176"/>
      <c r="K27" s="148"/>
      <c r="L27" s="176"/>
      <c r="M27" s="174"/>
      <c r="N27" s="174"/>
      <c r="P27" s="107"/>
      <c r="Q27" s="107"/>
      <c r="R27" s="107"/>
      <c r="T27" s="107"/>
      <c r="V27" s="107"/>
    </row>
    <row r="28" spans="2:22" x14ac:dyDescent="0.35">
      <c r="B28" s="255" t="s">
        <v>779</v>
      </c>
      <c r="C28" s="254" t="s">
        <v>63</v>
      </c>
      <c r="D28" s="257">
        <v>25358183.025109909</v>
      </c>
      <c r="E28" s="257">
        <v>20685290.753163546</v>
      </c>
      <c r="F28" s="257"/>
      <c r="G28" s="257">
        <v>4672892.2719463594</v>
      </c>
      <c r="H28" s="258"/>
      <c r="I28" s="148"/>
      <c r="J28" s="176"/>
      <c r="K28" s="148"/>
      <c r="M28" s="107"/>
      <c r="N28" s="107"/>
      <c r="Q28" s="64"/>
    </row>
    <row r="29" spans="2:22" x14ac:dyDescent="0.35">
      <c r="B29" s="261" t="s">
        <v>780</v>
      </c>
      <c r="C29" s="254"/>
      <c r="D29" s="69"/>
      <c r="E29" s="69"/>
      <c r="F29" s="69"/>
      <c r="G29" s="69"/>
      <c r="H29" s="69"/>
      <c r="I29" s="174"/>
      <c r="J29" s="174"/>
      <c r="K29" s="174"/>
      <c r="L29" s="174"/>
    </row>
    <row r="30" spans="2:22" x14ac:dyDescent="0.35">
      <c r="B30" s="259" t="s">
        <v>781</v>
      </c>
      <c r="C30" s="254" t="s">
        <v>65</v>
      </c>
      <c r="D30" s="258"/>
      <c r="E30" s="69"/>
      <c r="F30" s="69"/>
      <c r="G30" s="258"/>
      <c r="H30" s="69"/>
      <c r="I30" s="148"/>
      <c r="J30" s="148"/>
      <c r="K30" s="148"/>
      <c r="L30" s="176"/>
      <c r="M30" s="148"/>
      <c r="N30" s="107"/>
      <c r="O30" s="148"/>
      <c r="P30" s="107"/>
      <c r="Q30" s="107"/>
      <c r="R30" s="107"/>
    </row>
    <row r="31" spans="2:22" ht="29" x14ac:dyDescent="0.35">
      <c r="B31" s="259" t="s">
        <v>782</v>
      </c>
      <c r="C31" s="254" t="s">
        <v>67</v>
      </c>
      <c r="D31" s="258"/>
      <c r="E31" s="69"/>
      <c r="F31" s="69"/>
      <c r="G31" s="258"/>
      <c r="H31" s="69"/>
      <c r="I31" s="148"/>
      <c r="J31" s="148"/>
      <c r="K31" s="148"/>
      <c r="L31" s="176"/>
      <c r="M31" s="176"/>
      <c r="N31" s="148"/>
      <c r="O31" s="148"/>
      <c r="P31" s="107"/>
      <c r="Q31" s="107"/>
      <c r="R31" s="107"/>
    </row>
    <row r="32" spans="2:22" x14ac:dyDescent="0.35">
      <c r="B32" s="259" t="s">
        <v>783</v>
      </c>
      <c r="C32" s="254" t="s">
        <v>69</v>
      </c>
      <c r="D32" s="258"/>
      <c r="E32" s="69"/>
      <c r="F32" s="69"/>
      <c r="G32" s="258"/>
      <c r="H32" s="258"/>
      <c r="I32" s="148"/>
      <c r="J32" s="148"/>
      <c r="K32" s="148"/>
      <c r="L32" s="176"/>
      <c r="M32" s="176"/>
      <c r="N32" s="148"/>
      <c r="O32" s="148"/>
      <c r="P32" s="107"/>
      <c r="Q32" s="107"/>
      <c r="R32" s="107"/>
    </row>
    <row r="33" spans="2:20" x14ac:dyDescent="0.35">
      <c r="B33" s="259" t="s">
        <v>784</v>
      </c>
      <c r="C33" s="254" t="s">
        <v>71</v>
      </c>
      <c r="D33" s="258"/>
      <c r="E33" s="69"/>
      <c r="F33" s="69"/>
      <c r="G33" s="258"/>
      <c r="H33" s="258"/>
      <c r="I33" s="148"/>
      <c r="J33" s="148"/>
      <c r="K33" s="148"/>
      <c r="L33" s="176"/>
      <c r="M33" s="176"/>
      <c r="N33" s="148"/>
      <c r="O33" s="148"/>
      <c r="P33" s="107"/>
      <c r="Q33" s="107"/>
      <c r="R33" s="107"/>
    </row>
    <row r="34" spans="2:20" x14ac:dyDescent="0.35">
      <c r="B34" s="259" t="s">
        <v>785</v>
      </c>
      <c r="C34" s="254" t="s">
        <v>73</v>
      </c>
      <c r="D34" s="258"/>
      <c r="E34" s="69"/>
      <c r="F34" s="69"/>
      <c r="G34" s="258"/>
      <c r="H34" s="69"/>
      <c r="I34" s="148"/>
      <c r="J34" s="148"/>
      <c r="K34" s="148"/>
      <c r="L34" s="176"/>
      <c r="M34" s="176"/>
      <c r="N34" s="148"/>
      <c r="O34" s="148"/>
      <c r="P34" s="107"/>
      <c r="Q34" s="107"/>
      <c r="R34" s="107"/>
    </row>
    <row r="35" spans="2:20" x14ac:dyDescent="0.35">
      <c r="B35" s="259" t="s">
        <v>786</v>
      </c>
      <c r="C35" s="254" t="s">
        <v>75</v>
      </c>
      <c r="D35" s="258"/>
      <c r="E35" s="69"/>
      <c r="F35" s="69"/>
      <c r="G35" s="258"/>
      <c r="H35" s="258"/>
      <c r="I35" s="148"/>
      <c r="J35" s="148"/>
      <c r="K35" s="148"/>
      <c r="L35" s="176"/>
      <c r="M35" s="176"/>
      <c r="N35" s="148"/>
      <c r="O35" s="148"/>
      <c r="P35" s="107"/>
      <c r="Q35" s="107"/>
      <c r="R35" s="107"/>
    </row>
    <row r="36" spans="2:20" x14ac:dyDescent="0.35">
      <c r="B36" s="259" t="s">
        <v>787</v>
      </c>
      <c r="C36" s="254" t="s">
        <v>77</v>
      </c>
      <c r="D36" s="258"/>
      <c r="E36" s="69"/>
      <c r="F36" s="69"/>
      <c r="G36" s="258"/>
      <c r="H36" s="69"/>
      <c r="I36" s="148"/>
      <c r="J36" s="148"/>
      <c r="K36" s="148"/>
      <c r="L36" s="176"/>
      <c r="M36" s="176"/>
      <c r="N36" s="148"/>
      <c r="O36" s="148"/>
      <c r="P36" s="107"/>
      <c r="Q36" s="107"/>
      <c r="R36" s="107"/>
    </row>
    <row r="37" spans="2:20" x14ac:dyDescent="0.35">
      <c r="B37" s="259" t="s">
        <v>788</v>
      </c>
      <c r="C37" s="254" t="s">
        <v>79</v>
      </c>
      <c r="D37" s="258"/>
      <c r="E37" s="69"/>
      <c r="F37" s="69"/>
      <c r="G37" s="258"/>
      <c r="H37" s="258"/>
      <c r="I37" s="148"/>
      <c r="J37" s="148"/>
      <c r="K37" s="148"/>
      <c r="L37" s="176"/>
      <c r="M37" s="176"/>
      <c r="N37" s="148"/>
      <c r="O37" s="148"/>
      <c r="P37" s="107"/>
      <c r="Q37" s="107"/>
      <c r="R37" s="107"/>
    </row>
    <row r="38" spans="2:20" x14ac:dyDescent="0.35">
      <c r="B38" s="262" t="s">
        <v>789</v>
      </c>
      <c r="C38" s="254" t="s">
        <v>83</v>
      </c>
      <c r="D38" s="258"/>
      <c r="E38" s="69"/>
      <c r="F38" s="69"/>
      <c r="G38" s="258"/>
      <c r="H38" s="258"/>
      <c r="I38" s="148"/>
      <c r="J38" s="148"/>
      <c r="K38" s="148"/>
      <c r="L38" s="176"/>
      <c r="M38" s="176"/>
      <c r="N38" s="148"/>
      <c r="O38" s="148"/>
      <c r="P38" s="107"/>
      <c r="Q38" s="107"/>
      <c r="R38" s="107"/>
    </row>
    <row r="39" spans="2:20" x14ac:dyDescent="0.35">
      <c r="B39" s="261" t="s">
        <v>790</v>
      </c>
      <c r="C39" s="254" t="s">
        <v>85</v>
      </c>
      <c r="D39" s="258"/>
      <c r="E39" s="69"/>
      <c r="F39" s="69"/>
      <c r="G39" s="258"/>
      <c r="H39" s="258"/>
      <c r="I39" s="148"/>
      <c r="J39" s="148"/>
      <c r="K39" s="148"/>
      <c r="L39" s="176"/>
      <c r="M39" s="176"/>
      <c r="N39" s="148"/>
      <c r="O39" s="148"/>
      <c r="P39" s="107"/>
      <c r="Q39" s="107"/>
      <c r="R39" s="107"/>
    </row>
    <row r="40" spans="2:20" x14ac:dyDescent="0.35">
      <c r="B40" s="261" t="s">
        <v>791</v>
      </c>
      <c r="C40" s="254"/>
      <c r="D40" s="69"/>
      <c r="E40" s="69"/>
      <c r="F40" s="69"/>
      <c r="G40" s="69"/>
      <c r="H40" s="69"/>
      <c r="I40" s="174"/>
      <c r="K40" s="174"/>
      <c r="L40" s="174"/>
    </row>
    <row r="41" spans="2:20" x14ac:dyDescent="0.35">
      <c r="B41" s="262" t="s">
        <v>792</v>
      </c>
      <c r="C41" s="254" t="s">
        <v>91</v>
      </c>
      <c r="D41" s="257">
        <v>25358183.025109909</v>
      </c>
      <c r="E41" s="257">
        <v>20685290.753163546</v>
      </c>
      <c r="F41" s="257"/>
      <c r="G41" s="257">
        <v>4672892.2719463594</v>
      </c>
      <c r="H41" s="258"/>
      <c r="I41" s="148"/>
      <c r="J41" s="148"/>
      <c r="K41" s="148"/>
      <c r="L41" s="148"/>
      <c r="N41" s="107"/>
      <c r="O41" s="107"/>
      <c r="P41" s="107"/>
      <c r="Q41" s="107"/>
      <c r="R41" s="107"/>
      <c r="S41" s="107"/>
    </row>
    <row r="42" spans="2:20" x14ac:dyDescent="0.35">
      <c r="B42" s="262" t="s">
        <v>793</v>
      </c>
      <c r="C42" s="254" t="s">
        <v>94</v>
      </c>
      <c r="D42" s="257">
        <v>25358183.025109909</v>
      </c>
      <c r="E42" s="257">
        <v>20685290.753163546</v>
      </c>
      <c r="F42" s="257"/>
      <c r="G42" s="257">
        <v>4672892.2719463594</v>
      </c>
      <c r="H42" s="69"/>
      <c r="I42" s="148"/>
      <c r="J42" s="148"/>
      <c r="K42" s="148"/>
      <c r="L42" s="148"/>
      <c r="N42" s="107"/>
      <c r="O42" s="107"/>
      <c r="P42" s="107"/>
      <c r="Q42" s="107"/>
      <c r="R42" s="107"/>
      <c r="S42" s="107"/>
    </row>
    <row r="43" spans="2:20" x14ac:dyDescent="0.35">
      <c r="B43" s="259" t="s">
        <v>794</v>
      </c>
      <c r="C43" s="254" t="s">
        <v>100</v>
      </c>
      <c r="D43" s="257">
        <v>25358183.025109909</v>
      </c>
      <c r="E43" s="257">
        <v>20685290.753163546</v>
      </c>
      <c r="F43" s="257"/>
      <c r="G43" s="257">
        <v>4672892.2719463594</v>
      </c>
      <c r="H43" s="258"/>
      <c r="I43" s="178"/>
      <c r="J43" s="178"/>
      <c r="K43" s="148"/>
      <c r="L43" s="148"/>
      <c r="N43" s="107"/>
      <c r="O43" s="107"/>
      <c r="P43" s="107"/>
      <c r="Q43" s="107"/>
      <c r="S43" s="107"/>
      <c r="T43" s="107"/>
    </row>
    <row r="44" spans="2:20" x14ac:dyDescent="0.35">
      <c r="B44" s="262" t="s">
        <v>795</v>
      </c>
      <c r="C44" s="254" t="s">
        <v>102</v>
      </c>
      <c r="D44" s="257">
        <v>22052059.215709548</v>
      </c>
      <c r="E44" s="257">
        <v>20685290.753163546</v>
      </c>
      <c r="F44" s="257"/>
      <c r="G44" s="257">
        <v>1366768.462546</v>
      </c>
      <c r="H44" s="69"/>
      <c r="I44" s="178"/>
      <c r="J44" s="178"/>
      <c r="K44" s="148"/>
      <c r="L44" s="148"/>
      <c r="N44" s="107"/>
      <c r="O44" s="107"/>
      <c r="P44" s="107"/>
      <c r="Q44" s="107"/>
      <c r="S44" s="107"/>
      <c r="T44" s="107"/>
    </row>
    <row r="45" spans="2:20" x14ac:dyDescent="0.35">
      <c r="B45" s="255" t="s">
        <v>796</v>
      </c>
      <c r="C45" s="254" t="s">
        <v>106</v>
      </c>
      <c r="D45" s="257">
        <v>15186316.25052</v>
      </c>
      <c r="E45" s="69"/>
      <c r="F45" s="69"/>
      <c r="G45" s="69"/>
      <c r="H45" s="69"/>
      <c r="I45" s="176"/>
      <c r="J45" s="176"/>
      <c r="K45" s="148"/>
      <c r="M45" s="174"/>
      <c r="O45" s="107"/>
      <c r="P45" s="107"/>
      <c r="Q45" s="107"/>
      <c r="S45" s="107"/>
      <c r="T45" s="107"/>
    </row>
    <row r="46" spans="2:20" x14ac:dyDescent="0.35">
      <c r="B46" s="255" t="s">
        <v>797</v>
      </c>
      <c r="C46" s="254" t="s">
        <v>109</v>
      </c>
      <c r="D46" s="257">
        <v>6833842.3127299994</v>
      </c>
      <c r="E46" s="69"/>
      <c r="F46" s="69"/>
      <c r="G46" s="69"/>
      <c r="H46" s="69"/>
      <c r="I46" s="176"/>
      <c r="J46" s="176"/>
      <c r="K46" s="148"/>
      <c r="M46" s="174"/>
      <c r="O46" s="107"/>
      <c r="P46" s="107"/>
      <c r="Q46" s="107"/>
      <c r="S46" s="107"/>
      <c r="T46" s="107"/>
    </row>
    <row r="47" spans="2:20" x14ac:dyDescent="0.35">
      <c r="B47" s="255" t="s">
        <v>798</v>
      </c>
      <c r="C47" s="254" t="s">
        <v>112</v>
      </c>
      <c r="D47" s="263">
        <v>1.6698047509870348</v>
      </c>
      <c r="E47" s="69"/>
      <c r="F47" s="69"/>
      <c r="G47" s="69"/>
      <c r="H47" s="69"/>
      <c r="I47" s="176"/>
      <c r="J47" s="176"/>
      <c r="K47" s="107"/>
      <c r="M47" s="174"/>
      <c r="O47" s="107"/>
      <c r="P47" s="107"/>
      <c r="Q47" s="107"/>
      <c r="S47" s="107"/>
      <c r="T47" s="107"/>
    </row>
    <row r="48" spans="2:20" x14ac:dyDescent="0.35">
      <c r="B48" s="255" t="s">
        <v>799</v>
      </c>
      <c r="C48" s="254" t="s">
        <v>114</v>
      </c>
      <c r="D48" s="263">
        <v>3.2268902626903224</v>
      </c>
      <c r="E48" s="69"/>
      <c r="F48" s="69"/>
      <c r="G48" s="69"/>
      <c r="H48" s="69"/>
      <c r="I48" s="176"/>
      <c r="J48" s="176"/>
      <c r="K48" s="107"/>
      <c r="M48" s="174"/>
      <c r="O48" s="107"/>
      <c r="P48" s="107"/>
      <c r="Q48" s="107"/>
      <c r="S48" s="107"/>
      <c r="T48" s="107"/>
    </row>
    <row r="49" spans="1:20" x14ac:dyDescent="0.35">
      <c r="D49" s="179"/>
      <c r="E49" s="179"/>
      <c r="F49" s="179"/>
      <c r="G49" s="179"/>
      <c r="H49" s="179"/>
      <c r="N49" s="107"/>
      <c r="O49" s="107"/>
      <c r="P49" s="107"/>
      <c r="Q49" s="107"/>
      <c r="S49" s="107"/>
      <c r="T49" s="107"/>
    </row>
    <row r="50" spans="1:20" x14ac:dyDescent="0.35">
      <c r="F50" s="179"/>
      <c r="N50" s="107"/>
      <c r="O50" s="107"/>
      <c r="P50" s="107"/>
      <c r="Q50" s="107"/>
      <c r="S50" s="107"/>
      <c r="T50" s="107"/>
    </row>
    <row r="51" spans="1:20" x14ac:dyDescent="0.35">
      <c r="N51" s="107"/>
      <c r="O51" s="107"/>
      <c r="P51" s="107"/>
      <c r="Q51" s="107"/>
      <c r="S51" s="107"/>
      <c r="T51" s="107"/>
    </row>
    <row r="52" spans="1:20" x14ac:dyDescent="0.35">
      <c r="A52" s="172" t="s">
        <v>800</v>
      </c>
      <c r="N52" s="107"/>
      <c r="O52" s="107"/>
      <c r="P52" s="107"/>
      <c r="Q52" s="107"/>
      <c r="S52" s="107"/>
      <c r="T52" s="107"/>
    </row>
    <row r="53" spans="1:20" x14ac:dyDescent="0.35">
      <c r="N53" s="107"/>
      <c r="O53" s="107"/>
      <c r="P53" s="107"/>
      <c r="Q53" s="107"/>
      <c r="S53" s="107"/>
      <c r="T53" s="107"/>
    </row>
    <row r="54" spans="1:20" x14ac:dyDescent="0.35">
      <c r="N54" s="107"/>
      <c r="O54" s="107"/>
      <c r="P54" s="107"/>
      <c r="Q54" s="107"/>
      <c r="S54" s="107"/>
      <c r="T54" s="107"/>
    </row>
    <row r="55" spans="1:20" x14ac:dyDescent="0.35">
      <c r="N55" s="107"/>
      <c r="O55" s="107"/>
      <c r="P55" s="107"/>
      <c r="Q55" s="107"/>
      <c r="S55" s="107"/>
      <c r="T55" s="107"/>
    </row>
    <row r="56" spans="1:20" x14ac:dyDescent="0.35">
      <c r="A56" s="171" t="s">
        <v>773</v>
      </c>
      <c r="N56" s="107"/>
      <c r="O56" s="107"/>
      <c r="P56" s="107"/>
      <c r="Q56" s="107"/>
      <c r="S56" s="107"/>
      <c r="T56" s="107"/>
    </row>
    <row r="57" spans="1:20" x14ac:dyDescent="0.35">
      <c r="N57" s="107"/>
      <c r="O57" s="107"/>
      <c r="P57" s="107"/>
      <c r="Q57" s="107"/>
      <c r="S57" s="107"/>
      <c r="T57" s="107"/>
    </row>
    <row r="58" spans="1:20" x14ac:dyDescent="0.35">
      <c r="D58" s="254" t="s">
        <v>187</v>
      </c>
      <c r="J58" s="107"/>
      <c r="K58" s="107"/>
      <c r="L58" s="107"/>
      <c r="M58" s="107"/>
      <c r="O58" s="107"/>
      <c r="P58" s="107"/>
    </row>
    <row r="59" spans="1:20" x14ac:dyDescent="0.35">
      <c r="B59" s="255" t="s">
        <v>773</v>
      </c>
      <c r="C59" s="254"/>
      <c r="D59" s="69"/>
      <c r="F59" s="176"/>
      <c r="G59" s="176"/>
      <c r="H59" s="107"/>
      <c r="J59" s="174"/>
    </row>
    <row r="60" spans="1:20" x14ac:dyDescent="0.35">
      <c r="B60" s="262" t="s">
        <v>158</v>
      </c>
      <c r="C60" s="254" t="s">
        <v>122</v>
      </c>
      <c r="D60" s="264">
        <v>31053447.670209907</v>
      </c>
      <c r="F60" s="148"/>
      <c r="G60" s="148"/>
      <c r="H60" s="107"/>
      <c r="I60" s="107"/>
      <c r="J60" s="107"/>
    </row>
    <row r="61" spans="1:20" x14ac:dyDescent="0.35">
      <c r="B61" s="262" t="s">
        <v>801</v>
      </c>
      <c r="C61" s="254" t="s">
        <v>123</v>
      </c>
      <c r="D61" s="264"/>
      <c r="F61" s="148"/>
      <c r="G61" s="148"/>
      <c r="H61" s="107"/>
      <c r="I61" s="148"/>
      <c r="J61" s="148"/>
    </row>
    <row r="62" spans="1:20" x14ac:dyDescent="0.35">
      <c r="B62" s="265" t="s">
        <v>802</v>
      </c>
      <c r="C62" s="254" t="s">
        <v>124</v>
      </c>
      <c r="D62" s="257">
        <v>6900000</v>
      </c>
      <c r="F62" s="148"/>
      <c r="G62" s="148"/>
      <c r="H62" s="107"/>
      <c r="I62" s="176"/>
      <c r="J62" s="176"/>
    </row>
    <row r="63" spans="1:20" x14ac:dyDescent="0.35">
      <c r="B63" s="265" t="s">
        <v>803</v>
      </c>
      <c r="C63" s="254" t="s">
        <v>126</v>
      </c>
      <c r="D63" s="264">
        <v>3572587.9170463602</v>
      </c>
      <c r="F63" s="148"/>
      <c r="G63" s="148"/>
      <c r="H63" s="148"/>
      <c r="I63" s="176"/>
      <c r="J63" s="148"/>
    </row>
    <row r="64" spans="1:20" x14ac:dyDescent="0.35">
      <c r="B64" s="262" t="s">
        <v>804</v>
      </c>
      <c r="C64" s="254" t="s">
        <v>128</v>
      </c>
      <c r="D64" s="257"/>
      <c r="F64" s="148"/>
      <c r="G64" s="148"/>
      <c r="H64" s="148"/>
      <c r="I64" s="176"/>
      <c r="J64" s="107"/>
    </row>
    <row r="65" spans="1:13" x14ac:dyDescent="0.35">
      <c r="B65" s="266" t="s">
        <v>773</v>
      </c>
      <c r="C65" s="267" t="s">
        <v>132</v>
      </c>
      <c r="D65" s="268">
        <v>20580859.753163546</v>
      </c>
      <c r="F65" s="148"/>
      <c r="G65" s="148"/>
      <c r="H65" s="148"/>
      <c r="I65" s="176"/>
      <c r="J65" s="107"/>
    </row>
    <row r="66" spans="1:13" x14ac:dyDescent="0.35">
      <c r="B66" s="266" t="s">
        <v>805</v>
      </c>
      <c r="C66" s="254"/>
      <c r="D66" s="69"/>
      <c r="F66" s="180"/>
      <c r="G66" s="181"/>
      <c r="H66" s="182"/>
    </row>
    <row r="67" spans="1:13" x14ac:dyDescent="0.35">
      <c r="B67" s="262" t="s">
        <v>806</v>
      </c>
      <c r="C67" s="254" t="s">
        <v>134</v>
      </c>
      <c r="D67" s="258"/>
      <c r="E67" s="150"/>
      <c r="F67" s="178"/>
      <c r="G67" s="178"/>
      <c r="H67" s="178"/>
      <c r="I67" s="178"/>
    </row>
    <row r="68" spans="1:13" x14ac:dyDescent="0.35">
      <c r="B68" s="262" t="s">
        <v>807</v>
      </c>
      <c r="C68" s="254" t="s">
        <v>136</v>
      </c>
      <c r="D68" s="257">
        <v>1918205.4914209193</v>
      </c>
      <c r="E68" s="150"/>
      <c r="F68" s="178"/>
      <c r="G68" s="178"/>
      <c r="H68" s="178"/>
      <c r="I68" s="178"/>
    </row>
    <row r="69" spans="1:13" x14ac:dyDescent="0.35">
      <c r="B69" s="261" t="s">
        <v>808</v>
      </c>
      <c r="C69" s="267" t="s">
        <v>137</v>
      </c>
      <c r="D69" s="269">
        <v>1918205.4914209193</v>
      </c>
      <c r="F69" s="178"/>
      <c r="G69" s="178"/>
      <c r="H69" s="178"/>
      <c r="I69" s="178"/>
    </row>
    <row r="70" spans="1:13" x14ac:dyDescent="0.35">
      <c r="B70" s="173"/>
      <c r="C70" s="173"/>
      <c r="D70" s="179"/>
      <c r="F70" s="174"/>
      <c r="G70" s="174"/>
    </row>
    <row r="71" spans="1:13" x14ac:dyDescent="0.35">
      <c r="B71" s="173"/>
      <c r="C71" s="173"/>
      <c r="D71" s="135"/>
      <c r="E71" s="135"/>
      <c r="F71" s="183"/>
      <c r="G71" s="183"/>
      <c r="H71" s="174"/>
      <c r="I71" s="174"/>
      <c r="J71" s="174"/>
      <c r="K71" s="174"/>
      <c r="L71" s="174"/>
      <c r="M71" s="174"/>
    </row>
    <row r="72" spans="1:13" x14ac:dyDescent="0.35">
      <c r="B72" s="173"/>
      <c r="C72" s="173"/>
      <c r="D72" s="135"/>
      <c r="E72" s="135"/>
      <c r="F72" s="183"/>
      <c r="G72" s="183"/>
      <c r="H72" s="174"/>
      <c r="I72" s="174"/>
      <c r="J72" s="174"/>
      <c r="K72" s="174"/>
      <c r="L72" s="174"/>
      <c r="M72" s="174"/>
    </row>
    <row r="73" spans="1:13" x14ac:dyDescent="0.35">
      <c r="B73" s="173"/>
      <c r="C73" s="173"/>
      <c r="D73" s="174"/>
      <c r="E73" s="174"/>
      <c r="F73" s="174"/>
      <c r="G73" s="174"/>
      <c r="H73" s="174"/>
      <c r="I73" s="174"/>
      <c r="J73" s="174"/>
      <c r="K73" s="174"/>
      <c r="L73" s="174"/>
      <c r="M73" s="174"/>
    </row>
    <row r="74" spans="1:13" x14ac:dyDescent="0.35">
      <c r="A74" s="150"/>
      <c r="B74" s="173"/>
      <c r="C74" s="173"/>
      <c r="D74" s="174"/>
      <c r="E74" s="174"/>
      <c r="F74" s="174"/>
      <c r="G74" s="174"/>
      <c r="H74" s="174"/>
      <c r="I74" s="174"/>
      <c r="J74" s="174"/>
      <c r="K74" s="174"/>
      <c r="L74" s="174"/>
      <c r="M74" s="174"/>
    </row>
    <row r="79" spans="1:13" ht="26.25" customHeight="1" x14ac:dyDescent="0.35"/>
    <row r="81" ht="12" customHeight="1" x14ac:dyDescent="0.35"/>
  </sheetData>
  <pageMargins left="0.75" right="0.75" top="1" bottom="1" header="0.5" footer="0.5"/>
  <pageSetup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9BB7C3-0C60-4595-BE8E-F739294A6558}">
  <dimension ref="A1:P40"/>
  <sheetViews>
    <sheetView showGridLines="0" zoomScale="80" zoomScaleNormal="80" workbookViewId="0">
      <selection activeCell="A41" sqref="A41:XFD62"/>
    </sheetView>
  </sheetViews>
  <sheetFormatPr defaultColWidth="9.1796875" defaultRowHeight="14.5" x14ac:dyDescent="0.35"/>
  <cols>
    <col min="1" max="1" width="95.54296875" style="64" customWidth="1"/>
    <col min="2" max="2" width="42.81640625" style="64" bestFit="1" customWidth="1"/>
    <col min="3" max="4" width="21.81640625" style="64" customWidth="1"/>
    <col min="5" max="5" width="42.81640625" style="64" customWidth="1"/>
    <col min="6" max="6" width="43.54296875" style="64" customWidth="1"/>
    <col min="7" max="7" width="11.54296875" style="64" customWidth="1"/>
    <col min="8" max="8" width="13.453125" style="64" customWidth="1"/>
    <col min="9" max="9" width="17" style="64" customWidth="1"/>
    <col min="10" max="10" width="13.54296875" style="64" customWidth="1"/>
    <col min="11" max="11" width="19.54296875" style="64" customWidth="1"/>
    <col min="12" max="12" width="14" style="64" customWidth="1"/>
    <col min="13" max="245" width="9.1796875" style="64"/>
    <col min="246" max="246" width="40" style="64" customWidth="1"/>
    <col min="247" max="247" width="14.54296875" style="64" customWidth="1"/>
    <col min="248" max="248" width="29" style="64" customWidth="1"/>
    <col min="249" max="249" width="32.81640625" style="64" customWidth="1"/>
    <col min="250" max="501" width="9.1796875" style="64"/>
    <col min="502" max="502" width="40" style="64" customWidth="1"/>
    <col min="503" max="503" width="14.54296875" style="64" customWidth="1"/>
    <col min="504" max="504" width="29" style="64" customWidth="1"/>
    <col min="505" max="505" width="32.81640625" style="64" customWidth="1"/>
    <col min="506" max="757" width="9.1796875" style="64"/>
    <col min="758" max="758" width="40" style="64" customWidth="1"/>
    <col min="759" max="759" width="14.54296875" style="64" customWidth="1"/>
    <col min="760" max="760" width="29" style="64" customWidth="1"/>
    <col min="761" max="761" width="32.81640625" style="64" customWidth="1"/>
    <col min="762" max="1013" width="9.1796875" style="64"/>
    <col min="1014" max="1014" width="40" style="64" customWidth="1"/>
    <col min="1015" max="1015" width="14.54296875" style="64" customWidth="1"/>
    <col min="1016" max="1016" width="29" style="64" customWidth="1"/>
    <col min="1017" max="1017" width="32.81640625" style="64" customWidth="1"/>
    <col min="1018" max="1269" width="9.1796875" style="64"/>
    <col min="1270" max="1270" width="40" style="64" customWidth="1"/>
    <col min="1271" max="1271" width="14.54296875" style="64" customWidth="1"/>
    <col min="1272" max="1272" width="29" style="64" customWidth="1"/>
    <col min="1273" max="1273" width="32.81640625" style="64" customWidth="1"/>
    <col min="1274" max="1525" width="9.1796875" style="64"/>
    <col min="1526" max="1526" width="40" style="64" customWidth="1"/>
    <col min="1527" max="1527" width="14.54296875" style="64" customWidth="1"/>
    <col min="1528" max="1528" width="29" style="64" customWidth="1"/>
    <col min="1529" max="1529" width="32.81640625" style="64" customWidth="1"/>
    <col min="1530" max="1781" width="9.1796875" style="64"/>
    <col min="1782" max="1782" width="40" style="64" customWidth="1"/>
    <col min="1783" max="1783" width="14.54296875" style="64" customWidth="1"/>
    <col min="1784" max="1784" width="29" style="64" customWidth="1"/>
    <col min="1785" max="1785" width="32.81640625" style="64" customWidth="1"/>
    <col min="1786" max="2037" width="9.1796875" style="64"/>
    <col min="2038" max="2038" width="40" style="64" customWidth="1"/>
    <col min="2039" max="2039" width="14.54296875" style="64" customWidth="1"/>
    <col min="2040" max="2040" width="29" style="64" customWidth="1"/>
    <col min="2041" max="2041" width="32.81640625" style="64" customWidth="1"/>
    <col min="2042" max="2293" width="9.1796875" style="64"/>
    <col min="2294" max="2294" width="40" style="64" customWidth="1"/>
    <col min="2295" max="2295" width="14.54296875" style="64" customWidth="1"/>
    <col min="2296" max="2296" width="29" style="64" customWidth="1"/>
    <col min="2297" max="2297" width="32.81640625" style="64" customWidth="1"/>
    <col min="2298" max="2549" width="9.1796875" style="64"/>
    <col min="2550" max="2550" width="40" style="64" customWidth="1"/>
    <col min="2551" max="2551" width="14.54296875" style="64" customWidth="1"/>
    <col min="2552" max="2552" width="29" style="64" customWidth="1"/>
    <col min="2553" max="2553" width="32.81640625" style="64" customWidth="1"/>
    <col min="2554" max="2805" width="9.1796875" style="64"/>
    <col min="2806" max="2806" width="40" style="64" customWidth="1"/>
    <col min="2807" max="2807" width="14.54296875" style="64" customWidth="1"/>
    <col min="2808" max="2808" width="29" style="64" customWidth="1"/>
    <col min="2809" max="2809" width="32.81640625" style="64" customWidth="1"/>
    <col min="2810" max="3061" width="9.1796875" style="64"/>
    <col min="3062" max="3062" width="40" style="64" customWidth="1"/>
    <col min="3063" max="3063" width="14.54296875" style="64" customWidth="1"/>
    <col min="3064" max="3064" width="29" style="64" customWidth="1"/>
    <col min="3065" max="3065" width="32.81640625" style="64" customWidth="1"/>
    <col min="3066" max="3317" width="9.1796875" style="64"/>
    <col min="3318" max="3318" width="40" style="64" customWidth="1"/>
    <col min="3319" max="3319" width="14.54296875" style="64" customWidth="1"/>
    <col min="3320" max="3320" width="29" style="64" customWidth="1"/>
    <col min="3321" max="3321" width="32.81640625" style="64" customWidth="1"/>
    <col min="3322" max="3573" width="9.1796875" style="64"/>
    <col min="3574" max="3574" width="40" style="64" customWidth="1"/>
    <col min="3575" max="3575" width="14.54296875" style="64" customWidth="1"/>
    <col min="3576" max="3576" width="29" style="64" customWidth="1"/>
    <col min="3577" max="3577" width="32.81640625" style="64" customWidth="1"/>
    <col min="3578" max="3829" width="9.1796875" style="64"/>
    <col min="3830" max="3830" width="40" style="64" customWidth="1"/>
    <col min="3831" max="3831" width="14.54296875" style="64" customWidth="1"/>
    <col min="3832" max="3832" width="29" style="64" customWidth="1"/>
    <col min="3833" max="3833" width="32.81640625" style="64" customWidth="1"/>
    <col min="3834" max="4085" width="9.1796875" style="64"/>
    <col min="4086" max="4086" width="40" style="64" customWidth="1"/>
    <col min="4087" max="4087" width="14.54296875" style="64" customWidth="1"/>
    <col min="4088" max="4088" width="29" style="64" customWidth="1"/>
    <col min="4089" max="4089" width="32.81640625" style="64" customWidth="1"/>
    <col min="4090" max="4341" width="9.1796875" style="64"/>
    <col min="4342" max="4342" width="40" style="64" customWidth="1"/>
    <col min="4343" max="4343" width="14.54296875" style="64" customWidth="1"/>
    <col min="4344" max="4344" width="29" style="64" customWidth="1"/>
    <col min="4345" max="4345" width="32.81640625" style="64" customWidth="1"/>
    <col min="4346" max="4597" width="9.1796875" style="64"/>
    <col min="4598" max="4598" width="40" style="64" customWidth="1"/>
    <col min="4599" max="4599" width="14.54296875" style="64" customWidth="1"/>
    <col min="4600" max="4600" width="29" style="64" customWidth="1"/>
    <col min="4601" max="4601" width="32.81640625" style="64" customWidth="1"/>
    <col min="4602" max="4853" width="9.1796875" style="64"/>
    <col min="4854" max="4854" width="40" style="64" customWidth="1"/>
    <col min="4855" max="4855" width="14.54296875" style="64" customWidth="1"/>
    <col min="4856" max="4856" width="29" style="64" customWidth="1"/>
    <col min="4857" max="4857" width="32.81640625" style="64" customWidth="1"/>
    <col min="4858" max="5109" width="9.1796875" style="64"/>
    <col min="5110" max="5110" width="40" style="64" customWidth="1"/>
    <col min="5111" max="5111" width="14.54296875" style="64" customWidth="1"/>
    <col min="5112" max="5112" width="29" style="64" customWidth="1"/>
    <col min="5113" max="5113" width="32.81640625" style="64" customWidth="1"/>
    <col min="5114" max="5365" width="9.1796875" style="64"/>
    <col min="5366" max="5366" width="40" style="64" customWidth="1"/>
    <col min="5367" max="5367" width="14.54296875" style="64" customWidth="1"/>
    <col min="5368" max="5368" width="29" style="64" customWidth="1"/>
    <col min="5369" max="5369" width="32.81640625" style="64" customWidth="1"/>
    <col min="5370" max="5621" width="9.1796875" style="64"/>
    <col min="5622" max="5622" width="40" style="64" customWidth="1"/>
    <col min="5623" max="5623" width="14.54296875" style="64" customWidth="1"/>
    <col min="5624" max="5624" width="29" style="64" customWidth="1"/>
    <col min="5625" max="5625" width="32.81640625" style="64" customWidth="1"/>
    <col min="5626" max="5877" width="9.1796875" style="64"/>
    <col min="5878" max="5878" width="40" style="64" customWidth="1"/>
    <col min="5879" max="5879" width="14.54296875" style="64" customWidth="1"/>
    <col min="5880" max="5880" width="29" style="64" customWidth="1"/>
    <col min="5881" max="5881" width="32.81640625" style="64" customWidth="1"/>
    <col min="5882" max="6133" width="9.1796875" style="64"/>
    <col min="6134" max="6134" width="40" style="64" customWidth="1"/>
    <col min="6135" max="6135" width="14.54296875" style="64" customWidth="1"/>
    <col min="6136" max="6136" width="29" style="64" customWidth="1"/>
    <col min="6137" max="6137" width="32.81640625" style="64" customWidth="1"/>
    <col min="6138" max="6389" width="9.1796875" style="64"/>
    <col min="6390" max="6390" width="40" style="64" customWidth="1"/>
    <col min="6391" max="6391" width="14.54296875" style="64" customWidth="1"/>
    <col min="6392" max="6392" width="29" style="64" customWidth="1"/>
    <col min="6393" max="6393" width="32.81640625" style="64" customWidth="1"/>
    <col min="6394" max="6645" width="9.1796875" style="64"/>
    <col min="6646" max="6646" width="40" style="64" customWidth="1"/>
    <col min="6647" max="6647" width="14.54296875" style="64" customWidth="1"/>
    <col min="6648" max="6648" width="29" style="64" customWidth="1"/>
    <col min="6649" max="6649" width="32.81640625" style="64" customWidth="1"/>
    <col min="6650" max="6901" width="9.1796875" style="64"/>
    <col min="6902" max="6902" width="40" style="64" customWidth="1"/>
    <col min="6903" max="6903" width="14.54296875" style="64" customWidth="1"/>
    <col min="6904" max="6904" width="29" style="64" customWidth="1"/>
    <col min="6905" max="6905" width="32.81640625" style="64" customWidth="1"/>
    <col min="6906" max="7157" width="9.1796875" style="64"/>
    <col min="7158" max="7158" width="40" style="64" customWidth="1"/>
    <col min="7159" max="7159" width="14.54296875" style="64" customWidth="1"/>
    <col min="7160" max="7160" width="29" style="64" customWidth="1"/>
    <col min="7161" max="7161" width="32.81640625" style="64" customWidth="1"/>
    <col min="7162" max="7413" width="9.1796875" style="64"/>
    <col min="7414" max="7414" width="40" style="64" customWidth="1"/>
    <col min="7415" max="7415" width="14.54296875" style="64" customWidth="1"/>
    <col min="7416" max="7416" width="29" style="64" customWidth="1"/>
    <col min="7417" max="7417" width="32.81640625" style="64" customWidth="1"/>
    <col min="7418" max="7669" width="9.1796875" style="64"/>
    <col min="7670" max="7670" width="40" style="64" customWidth="1"/>
    <col min="7671" max="7671" width="14.54296875" style="64" customWidth="1"/>
    <col min="7672" max="7672" width="29" style="64" customWidth="1"/>
    <col min="7673" max="7673" width="32.81640625" style="64" customWidth="1"/>
    <col min="7674" max="7925" width="9.1796875" style="64"/>
    <col min="7926" max="7926" width="40" style="64" customWidth="1"/>
    <col min="7927" max="7927" width="14.54296875" style="64" customWidth="1"/>
    <col min="7928" max="7928" width="29" style="64" customWidth="1"/>
    <col min="7929" max="7929" width="32.81640625" style="64" customWidth="1"/>
    <col min="7930" max="8181" width="9.1796875" style="64"/>
    <col min="8182" max="8182" width="40" style="64" customWidth="1"/>
    <col min="8183" max="8183" width="14.54296875" style="64" customWidth="1"/>
    <col min="8184" max="8184" width="29" style="64" customWidth="1"/>
    <col min="8185" max="8185" width="32.81640625" style="64" customWidth="1"/>
    <col min="8186" max="8437" width="9.1796875" style="64"/>
    <col min="8438" max="8438" width="40" style="64" customWidth="1"/>
    <col min="8439" max="8439" width="14.54296875" style="64" customWidth="1"/>
    <col min="8440" max="8440" width="29" style="64" customWidth="1"/>
    <col min="8441" max="8441" width="32.81640625" style="64" customWidth="1"/>
    <col min="8442" max="8693" width="9.1796875" style="64"/>
    <col min="8694" max="8694" width="40" style="64" customWidth="1"/>
    <col min="8695" max="8695" width="14.54296875" style="64" customWidth="1"/>
    <col min="8696" max="8696" width="29" style="64" customWidth="1"/>
    <col min="8697" max="8697" width="32.81640625" style="64" customWidth="1"/>
    <col min="8698" max="8949" width="9.1796875" style="64"/>
    <col min="8950" max="8950" width="40" style="64" customWidth="1"/>
    <col min="8951" max="8951" width="14.54296875" style="64" customWidth="1"/>
    <col min="8952" max="8952" width="29" style="64" customWidth="1"/>
    <col min="8953" max="8953" width="32.81640625" style="64" customWidth="1"/>
    <col min="8954" max="9205" width="9.1796875" style="64"/>
    <col min="9206" max="9206" width="40" style="64" customWidth="1"/>
    <col min="9207" max="9207" width="14.54296875" style="64" customWidth="1"/>
    <col min="9208" max="9208" width="29" style="64" customWidth="1"/>
    <col min="9209" max="9209" width="32.81640625" style="64" customWidth="1"/>
    <col min="9210" max="9461" width="9.1796875" style="64"/>
    <col min="9462" max="9462" width="40" style="64" customWidth="1"/>
    <col min="9463" max="9463" width="14.54296875" style="64" customWidth="1"/>
    <col min="9464" max="9464" width="29" style="64" customWidth="1"/>
    <col min="9465" max="9465" width="32.81640625" style="64" customWidth="1"/>
    <col min="9466" max="9717" width="9.1796875" style="64"/>
    <col min="9718" max="9718" width="40" style="64" customWidth="1"/>
    <col min="9719" max="9719" width="14.54296875" style="64" customWidth="1"/>
    <col min="9720" max="9720" width="29" style="64" customWidth="1"/>
    <col min="9721" max="9721" width="32.81640625" style="64" customWidth="1"/>
    <col min="9722" max="9973" width="9.1796875" style="64"/>
    <col min="9974" max="9974" width="40" style="64" customWidth="1"/>
    <col min="9975" max="9975" width="14.54296875" style="64" customWidth="1"/>
    <col min="9976" max="9976" width="29" style="64" customWidth="1"/>
    <col min="9977" max="9977" width="32.81640625" style="64" customWidth="1"/>
    <col min="9978" max="10229" width="9.1796875" style="64"/>
    <col min="10230" max="10230" width="40" style="64" customWidth="1"/>
    <col min="10231" max="10231" width="14.54296875" style="64" customWidth="1"/>
    <col min="10232" max="10232" width="29" style="64" customWidth="1"/>
    <col min="10233" max="10233" width="32.81640625" style="64" customWidth="1"/>
    <col min="10234" max="10485" width="9.1796875" style="64"/>
    <col min="10486" max="10486" width="40" style="64" customWidth="1"/>
    <col min="10487" max="10487" width="14.54296875" style="64" customWidth="1"/>
    <col min="10488" max="10488" width="29" style="64" customWidth="1"/>
    <col min="10489" max="10489" width="32.81640625" style="64" customWidth="1"/>
    <col min="10490" max="10741" width="9.1796875" style="64"/>
    <col min="10742" max="10742" width="40" style="64" customWidth="1"/>
    <col min="10743" max="10743" width="14.54296875" style="64" customWidth="1"/>
    <col min="10744" max="10744" width="29" style="64" customWidth="1"/>
    <col min="10745" max="10745" width="32.81640625" style="64" customWidth="1"/>
    <col min="10746" max="10997" width="9.1796875" style="64"/>
    <col min="10998" max="10998" width="40" style="64" customWidth="1"/>
    <col min="10999" max="10999" width="14.54296875" style="64" customWidth="1"/>
    <col min="11000" max="11000" width="29" style="64" customWidth="1"/>
    <col min="11001" max="11001" width="32.81640625" style="64" customWidth="1"/>
    <col min="11002" max="11253" width="9.1796875" style="64"/>
    <col min="11254" max="11254" width="40" style="64" customWidth="1"/>
    <col min="11255" max="11255" width="14.54296875" style="64" customWidth="1"/>
    <col min="11256" max="11256" width="29" style="64" customWidth="1"/>
    <col min="11257" max="11257" width="32.81640625" style="64" customWidth="1"/>
    <col min="11258" max="11509" width="9.1796875" style="64"/>
    <col min="11510" max="11510" width="40" style="64" customWidth="1"/>
    <col min="11511" max="11511" width="14.54296875" style="64" customWidth="1"/>
    <col min="11512" max="11512" width="29" style="64" customWidth="1"/>
    <col min="11513" max="11513" width="32.81640625" style="64" customWidth="1"/>
    <col min="11514" max="11765" width="9.1796875" style="64"/>
    <col min="11766" max="11766" width="40" style="64" customWidth="1"/>
    <col min="11767" max="11767" width="14.54296875" style="64" customWidth="1"/>
    <col min="11768" max="11768" width="29" style="64" customWidth="1"/>
    <col min="11769" max="11769" width="32.81640625" style="64" customWidth="1"/>
    <col min="11770" max="12021" width="9.1796875" style="64"/>
    <col min="12022" max="12022" width="40" style="64" customWidth="1"/>
    <col min="12023" max="12023" width="14.54296875" style="64" customWidth="1"/>
    <col min="12024" max="12024" width="29" style="64" customWidth="1"/>
    <col min="12025" max="12025" width="32.81640625" style="64" customWidth="1"/>
    <col min="12026" max="12277" width="9.1796875" style="64"/>
    <col min="12278" max="12278" width="40" style="64" customWidth="1"/>
    <col min="12279" max="12279" width="14.54296875" style="64" customWidth="1"/>
    <col min="12280" max="12280" width="29" style="64" customWidth="1"/>
    <col min="12281" max="12281" width="32.81640625" style="64" customWidth="1"/>
    <col min="12282" max="12533" width="9.1796875" style="64"/>
    <col min="12534" max="12534" width="40" style="64" customWidth="1"/>
    <col min="12535" max="12535" width="14.54296875" style="64" customWidth="1"/>
    <col min="12536" max="12536" width="29" style="64" customWidth="1"/>
    <col min="12537" max="12537" width="32.81640625" style="64" customWidth="1"/>
    <col min="12538" max="12789" width="9.1796875" style="64"/>
    <col min="12790" max="12790" width="40" style="64" customWidth="1"/>
    <col min="12791" max="12791" width="14.54296875" style="64" customWidth="1"/>
    <col min="12792" max="12792" width="29" style="64" customWidth="1"/>
    <col min="12793" max="12793" width="32.81640625" style="64" customWidth="1"/>
    <col min="12794" max="13045" width="9.1796875" style="64"/>
    <col min="13046" max="13046" width="40" style="64" customWidth="1"/>
    <col min="13047" max="13047" width="14.54296875" style="64" customWidth="1"/>
    <col min="13048" max="13048" width="29" style="64" customWidth="1"/>
    <col min="13049" max="13049" width="32.81640625" style="64" customWidth="1"/>
    <col min="13050" max="13301" width="9.1796875" style="64"/>
    <col min="13302" max="13302" width="40" style="64" customWidth="1"/>
    <col min="13303" max="13303" width="14.54296875" style="64" customWidth="1"/>
    <col min="13304" max="13304" width="29" style="64" customWidth="1"/>
    <col min="13305" max="13305" width="32.81640625" style="64" customWidth="1"/>
    <col min="13306" max="13557" width="9.1796875" style="64"/>
    <col min="13558" max="13558" width="40" style="64" customWidth="1"/>
    <col min="13559" max="13559" width="14.54296875" style="64" customWidth="1"/>
    <col min="13560" max="13560" width="29" style="64" customWidth="1"/>
    <col min="13561" max="13561" width="32.81640625" style="64" customWidth="1"/>
    <col min="13562" max="13813" width="9.1796875" style="64"/>
    <col min="13814" max="13814" width="40" style="64" customWidth="1"/>
    <col min="13815" max="13815" width="14.54296875" style="64" customWidth="1"/>
    <col min="13816" max="13816" width="29" style="64" customWidth="1"/>
    <col min="13817" max="13817" width="32.81640625" style="64" customWidth="1"/>
    <col min="13818" max="14069" width="9.1796875" style="64"/>
    <col min="14070" max="14070" width="40" style="64" customWidth="1"/>
    <col min="14071" max="14071" width="14.54296875" style="64" customWidth="1"/>
    <col min="14072" max="14072" width="29" style="64" customWidth="1"/>
    <col min="14073" max="14073" width="32.81640625" style="64" customWidth="1"/>
    <col min="14074" max="14325" width="9.1796875" style="64"/>
    <col min="14326" max="14326" width="40" style="64" customWidth="1"/>
    <col min="14327" max="14327" width="14.54296875" style="64" customWidth="1"/>
    <col min="14328" max="14328" width="29" style="64" customWidth="1"/>
    <col min="14329" max="14329" width="32.81640625" style="64" customWidth="1"/>
    <col min="14330" max="14581" width="9.1796875" style="64"/>
    <col min="14582" max="14582" width="40" style="64" customWidth="1"/>
    <col min="14583" max="14583" width="14.54296875" style="64" customWidth="1"/>
    <col min="14584" max="14584" width="29" style="64" customWidth="1"/>
    <col min="14585" max="14585" width="32.81640625" style="64" customWidth="1"/>
    <col min="14586" max="14837" width="9.1796875" style="64"/>
    <col min="14838" max="14838" width="40" style="64" customWidth="1"/>
    <col min="14839" max="14839" width="14.54296875" style="64" customWidth="1"/>
    <col min="14840" max="14840" width="29" style="64" customWidth="1"/>
    <col min="14841" max="14841" width="32.81640625" style="64" customWidth="1"/>
    <col min="14842" max="15093" width="9.1796875" style="64"/>
    <col min="15094" max="15094" width="40" style="64" customWidth="1"/>
    <col min="15095" max="15095" width="14.54296875" style="64" customWidth="1"/>
    <col min="15096" max="15096" width="29" style="64" customWidth="1"/>
    <col min="15097" max="15097" width="32.81640625" style="64" customWidth="1"/>
    <col min="15098" max="15349" width="9.1796875" style="64"/>
    <col min="15350" max="15350" width="40" style="64" customWidth="1"/>
    <col min="15351" max="15351" width="14.54296875" style="64" customWidth="1"/>
    <col min="15352" max="15352" width="29" style="64" customWidth="1"/>
    <col min="15353" max="15353" width="32.81640625" style="64" customWidth="1"/>
    <col min="15354" max="15605" width="9.1796875" style="64"/>
    <col min="15606" max="15606" width="40" style="64" customWidth="1"/>
    <col min="15607" max="15607" width="14.54296875" style="64" customWidth="1"/>
    <col min="15608" max="15608" width="29" style="64" customWidth="1"/>
    <col min="15609" max="15609" width="32.81640625" style="64" customWidth="1"/>
    <col min="15610" max="15861" width="9.1796875" style="64"/>
    <col min="15862" max="15862" width="40" style="64" customWidth="1"/>
    <col min="15863" max="15863" width="14.54296875" style="64" customWidth="1"/>
    <col min="15864" max="15864" width="29" style="64" customWidth="1"/>
    <col min="15865" max="15865" width="32.81640625" style="64" customWidth="1"/>
    <col min="15866" max="16117" width="9.1796875" style="64"/>
    <col min="16118" max="16118" width="40" style="64" customWidth="1"/>
    <col min="16119" max="16119" width="14.54296875" style="64" customWidth="1"/>
    <col min="16120" max="16120" width="29" style="64" customWidth="1"/>
    <col min="16121" max="16121" width="32.81640625" style="64" customWidth="1"/>
    <col min="16122" max="16384" width="9.1796875" style="64"/>
  </cols>
  <sheetData>
    <row r="1" spans="1:6" x14ac:dyDescent="0.35">
      <c r="A1" s="63" t="s">
        <v>543</v>
      </c>
    </row>
    <row r="2" spans="1:6" x14ac:dyDescent="0.35">
      <c r="A2" s="67" t="s">
        <v>542</v>
      </c>
      <c r="B2" s="70"/>
      <c r="C2" s="70"/>
      <c r="D2" s="70"/>
      <c r="E2" s="70"/>
    </row>
    <row r="3" spans="1:6" x14ac:dyDescent="0.35">
      <c r="A3" s="67"/>
      <c r="B3" s="70"/>
      <c r="C3" s="70"/>
      <c r="D3" s="70"/>
      <c r="E3" s="70"/>
    </row>
    <row r="4" spans="1:6" x14ac:dyDescent="0.35">
      <c r="A4" s="63" t="s">
        <v>809</v>
      </c>
      <c r="C4" s="184"/>
    </row>
    <row r="5" spans="1:6" x14ac:dyDescent="0.35">
      <c r="A5" s="132"/>
      <c r="C5" s="184"/>
    </row>
    <row r="6" spans="1:6" x14ac:dyDescent="0.35">
      <c r="A6" s="185" t="s">
        <v>810</v>
      </c>
      <c r="C6" s="184"/>
    </row>
    <row r="7" spans="1:6" x14ac:dyDescent="0.35">
      <c r="C7" s="184"/>
    </row>
    <row r="8" spans="1:6" ht="43.5" x14ac:dyDescent="0.35">
      <c r="A8" s="270" t="s">
        <v>811</v>
      </c>
      <c r="B8" s="270" t="s">
        <v>812</v>
      </c>
      <c r="C8" s="68" t="s">
        <v>813</v>
      </c>
      <c r="D8" s="68" t="s">
        <v>814</v>
      </c>
      <c r="E8" s="68" t="s">
        <v>815</v>
      </c>
      <c r="F8" s="68" t="s">
        <v>816</v>
      </c>
    </row>
    <row r="9" spans="1:6" x14ac:dyDescent="0.35">
      <c r="A9" s="149" t="s">
        <v>4</v>
      </c>
      <c r="B9" s="149" t="s">
        <v>183</v>
      </c>
      <c r="C9" s="149" t="s">
        <v>184</v>
      </c>
      <c r="D9" s="149" t="s">
        <v>188</v>
      </c>
      <c r="E9" s="149" t="s">
        <v>190</v>
      </c>
      <c r="F9" s="149" t="s">
        <v>193</v>
      </c>
    </row>
    <row r="10" spans="1:6" x14ac:dyDescent="0.35">
      <c r="A10" s="187">
        <v>1</v>
      </c>
      <c r="B10" s="188" t="s">
        <v>817</v>
      </c>
      <c r="C10" s="189">
        <v>11395184.048760001</v>
      </c>
      <c r="D10" s="190" t="s">
        <v>287</v>
      </c>
      <c r="E10" s="191"/>
      <c r="F10" s="191"/>
    </row>
    <row r="11" spans="1:6" x14ac:dyDescent="0.35">
      <c r="A11" s="187">
        <v>2</v>
      </c>
      <c r="B11" s="188" t="s">
        <v>818</v>
      </c>
      <c r="C11" s="189">
        <v>1020620.10961</v>
      </c>
      <c r="D11" s="190" t="s">
        <v>287</v>
      </c>
      <c r="E11" s="191"/>
      <c r="F11" s="191"/>
    </row>
    <row r="12" spans="1:6" x14ac:dyDescent="0.35">
      <c r="A12" s="187">
        <v>3</v>
      </c>
      <c r="B12" s="188" t="s">
        <v>819</v>
      </c>
      <c r="C12" s="189">
        <v>330659.04813000001</v>
      </c>
      <c r="D12" s="190" t="s">
        <v>287</v>
      </c>
      <c r="E12" s="191"/>
      <c r="F12" s="191"/>
    </row>
    <row r="13" spans="1:6" x14ac:dyDescent="0.35">
      <c r="A13" s="187">
        <v>4</v>
      </c>
      <c r="B13" s="188" t="s">
        <v>820</v>
      </c>
      <c r="C13" s="189">
        <v>671272.59319000004</v>
      </c>
      <c r="D13" s="190" t="s">
        <v>287</v>
      </c>
      <c r="E13" s="191"/>
      <c r="F13" s="191"/>
    </row>
    <row r="14" spans="1:6" x14ac:dyDescent="0.35">
      <c r="A14" s="187">
        <v>5</v>
      </c>
      <c r="B14" s="188" t="s">
        <v>821</v>
      </c>
      <c r="C14" s="189">
        <v>1800966.87949</v>
      </c>
      <c r="D14" s="190" t="s">
        <v>287</v>
      </c>
      <c r="E14" s="191"/>
      <c r="F14" s="191"/>
    </row>
    <row r="15" spans="1:6" x14ac:dyDescent="0.35">
      <c r="A15" s="187">
        <v>7</v>
      </c>
      <c r="B15" s="188" t="s">
        <v>822</v>
      </c>
      <c r="C15" s="189">
        <v>1566045.3330000001</v>
      </c>
      <c r="D15" s="190" t="s">
        <v>287</v>
      </c>
      <c r="E15" s="191"/>
      <c r="F15" s="191"/>
    </row>
    <row r="16" spans="1:6" x14ac:dyDescent="0.35">
      <c r="A16" s="187">
        <v>9</v>
      </c>
      <c r="B16" s="188" t="s">
        <v>823</v>
      </c>
      <c r="C16" s="189">
        <v>-2196740.1541300002</v>
      </c>
      <c r="D16" s="190" t="s">
        <v>287</v>
      </c>
      <c r="E16" s="191"/>
      <c r="F16" s="191"/>
    </row>
    <row r="17" spans="1:16" x14ac:dyDescent="0.35">
      <c r="A17" s="192">
        <v>11</v>
      </c>
      <c r="B17" s="188" t="s">
        <v>824</v>
      </c>
      <c r="C17" s="189">
        <v>6274631.3764399998</v>
      </c>
      <c r="D17" s="193">
        <v>6274631.3764399998</v>
      </c>
      <c r="E17" s="194"/>
      <c r="F17" s="194"/>
    </row>
    <row r="19" spans="1:16" x14ac:dyDescent="0.35">
      <c r="A19" s="63" t="s">
        <v>825</v>
      </c>
    </row>
    <row r="23" spans="1:16" x14ac:dyDescent="0.35">
      <c r="A23" s="195" t="s">
        <v>826</v>
      </c>
    </row>
    <row r="25" spans="1:16" x14ac:dyDescent="0.35">
      <c r="C25" s="149" t="s">
        <v>191</v>
      </c>
    </row>
    <row r="26" spans="1:16" x14ac:dyDescent="0.35">
      <c r="A26" s="196" t="s">
        <v>827</v>
      </c>
      <c r="B26" s="149" t="s">
        <v>27</v>
      </c>
      <c r="C26" s="197">
        <v>20862639.234499998</v>
      </c>
      <c r="D26" s="70"/>
      <c r="G26" s="148"/>
      <c r="H26" s="107"/>
      <c r="I26" s="148"/>
      <c r="L26" s="148"/>
      <c r="N26" s="107"/>
      <c r="O26" s="107"/>
      <c r="P26" s="107"/>
    </row>
    <row r="27" spans="1:16" x14ac:dyDescent="0.35">
      <c r="A27" s="196" t="s">
        <v>828</v>
      </c>
      <c r="B27" s="149" t="s">
        <v>17</v>
      </c>
      <c r="C27" s="197">
        <v>-5676322.9839799991</v>
      </c>
      <c r="D27" s="70"/>
      <c r="G27" s="148"/>
      <c r="H27" s="107"/>
      <c r="I27" s="148"/>
      <c r="L27" s="148"/>
      <c r="N27" s="107"/>
      <c r="O27" s="107"/>
      <c r="P27" s="107"/>
    </row>
    <row r="28" spans="1:16" x14ac:dyDescent="0.35">
      <c r="A28" s="196" t="s">
        <v>829</v>
      </c>
      <c r="B28" s="149" t="s">
        <v>37</v>
      </c>
      <c r="C28" s="198" t="s">
        <v>287</v>
      </c>
      <c r="G28" s="148"/>
      <c r="H28" s="107"/>
      <c r="I28" s="148"/>
      <c r="K28" s="148"/>
      <c r="L28" s="148"/>
      <c r="N28" s="148"/>
      <c r="O28" s="148"/>
    </row>
    <row r="29" spans="1:16" x14ac:dyDescent="0.35">
      <c r="A29" s="196" t="s">
        <v>830</v>
      </c>
      <c r="B29" s="149" t="s">
        <v>45</v>
      </c>
      <c r="C29" s="198">
        <v>15186316.25052</v>
      </c>
      <c r="D29" s="70"/>
      <c r="E29" s="150"/>
      <c r="G29" s="148"/>
      <c r="H29" s="107"/>
      <c r="I29" s="148"/>
      <c r="J29" s="178"/>
      <c r="K29" s="148"/>
      <c r="L29" s="148"/>
      <c r="M29" s="178"/>
      <c r="N29" s="148"/>
      <c r="O29" s="148"/>
    </row>
    <row r="30" spans="1:16" x14ac:dyDescent="0.35">
      <c r="A30" s="196" t="s">
        <v>831</v>
      </c>
      <c r="B30" s="149" t="s">
        <v>47</v>
      </c>
      <c r="C30" s="198" t="s">
        <v>287</v>
      </c>
      <c r="D30" s="70"/>
      <c r="E30" s="150"/>
      <c r="G30" s="148"/>
      <c r="H30" s="107"/>
      <c r="I30" s="148"/>
      <c r="J30" s="178"/>
      <c r="K30" s="148"/>
      <c r="L30" s="148"/>
      <c r="M30" s="178"/>
      <c r="N30" s="148"/>
    </row>
    <row r="31" spans="1:16" x14ac:dyDescent="0.35">
      <c r="A31" s="196" t="s">
        <v>832</v>
      </c>
      <c r="B31" s="149" t="s">
        <v>49</v>
      </c>
      <c r="C31" s="198">
        <v>15186316.25052</v>
      </c>
      <c r="D31" s="70"/>
      <c r="E31" s="150"/>
      <c r="G31" s="148"/>
      <c r="H31" s="107"/>
      <c r="I31" s="148"/>
      <c r="J31" s="178"/>
      <c r="K31" s="148"/>
      <c r="L31" s="148"/>
      <c r="M31" s="178"/>
      <c r="N31" s="148"/>
    </row>
    <row r="32" spans="1:16" x14ac:dyDescent="0.35">
      <c r="A32" s="199" t="s">
        <v>833</v>
      </c>
      <c r="B32" s="149"/>
      <c r="C32" s="152"/>
      <c r="D32" s="70"/>
      <c r="E32" s="148"/>
      <c r="F32" s="107"/>
      <c r="G32" s="148"/>
      <c r="H32" s="107"/>
      <c r="I32" s="107"/>
      <c r="J32" s="178"/>
      <c r="L32" s="107"/>
      <c r="M32" s="107"/>
      <c r="N32" s="107"/>
    </row>
    <row r="33" spans="1:16" x14ac:dyDescent="0.35">
      <c r="A33" s="200" t="s">
        <v>834</v>
      </c>
      <c r="B33" s="149" t="s">
        <v>65</v>
      </c>
      <c r="C33" s="201"/>
      <c r="D33" s="70"/>
      <c r="E33" s="150"/>
      <c r="G33" s="148"/>
      <c r="H33" s="107"/>
      <c r="I33" s="148"/>
      <c r="J33" s="178"/>
      <c r="K33" s="148"/>
      <c r="L33" s="148"/>
      <c r="M33" s="148"/>
      <c r="N33" s="148"/>
    </row>
    <row r="34" spans="1:16" x14ac:dyDescent="0.35">
      <c r="A34" s="202" t="s">
        <v>835</v>
      </c>
      <c r="B34" s="149" t="s">
        <v>67</v>
      </c>
      <c r="C34" s="198">
        <v>-2196740.1541300002</v>
      </c>
      <c r="D34" s="70"/>
      <c r="E34" s="150"/>
      <c r="G34" s="148"/>
      <c r="H34" s="107"/>
      <c r="I34" s="148"/>
      <c r="J34" s="178"/>
      <c r="K34" s="148"/>
      <c r="L34" s="148"/>
      <c r="M34" s="148"/>
      <c r="N34" s="148"/>
    </row>
    <row r="35" spans="1:16" x14ac:dyDescent="0.35">
      <c r="A35" s="200" t="s">
        <v>836</v>
      </c>
      <c r="B35" s="149" t="s">
        <v>85</v>
      </c>
      <c r="C35" s="192"/>
      <c r="D35" s="70"/>
      <c r="E35" s="150"/>
      <c r="F35" s="150"/>
      <c r="G35" s="148"/>
      <c r="H35" s="107"/>
      <c r="I35" s="148"/>
      <c r="J35" s="148"/>
      <c r="K35" s="148"/>
      <c r="L35" s="148"/>
      <c r="M35" s="148"/>
      <c r="N35" s="148"/>
      <c r="O35" s="148"/>
    </row>
    <row r="36" spans="1:16" x14ac:dyDescent="0.35">
      <c r="A36" s="200" t="s">
        <v>837</v>
      </c>
      <c r="B36" s="149" t="s">
        <v>87</v>
      </c>
      <c r="C36" s="192"/>
      <c r="D36" s="203"/>
      <c r="E36" s="150"/>
      <c r="G36" s="148"/>
      <c r="H36" s="107"/>
      <c r="I36" s="148"/>
      <c r="J36" s="203"/>
      <c r="K36" s="148"/>
      <c r="L36" s="148"/>
      <c r="M36" s="148"/>
      <c r="N36" s="148"/>
    </row>
    <row r="37" spans="1:16" x14ac:dyDescent="0.35">
      <c r="A37" s="200" t="s">
        <v>838</v>
      </c>
      <c r="B37" s="149" t="s">
        <v>89</v>
      </c>
      <c r="C37" s="192"/>
      <c r="D37" s="203"/>
      <c r="E37" s="150"/>
      <c r="G37" s="148"/>
      <c r="H37" s="107"/>
      <c r="I37" s="148"/>
      <c r="K37" s="148"/>
      <c r="L37" s="148"/>
      <c r="M37" s="148"/>
      <c r="N37" s="148"/>
    </row>
    <row r="38" spans="1:16" x14ac:dyDescent="0.35">
      <c r="A38" s="200" t="s">
        <v>839</v>
      </c>
      <c r="B38" s="149" t="s">
        <v>208</v>
      </c>
      <c r="C38" s="192"/>
      <c r="D38" s="203"/>
      <c r="E38" s="150"/>
      <c r="G38" s="148"/>
      <c r="H38" s="107"/>
      <c r="I38" s="148"/>
      <c r="K38" s="148"/>
      <c r="L38" s="148"/>
      <c r="M38" s="148"/>
      <c r="N38" s="148"/>
    </row>
    <row r="39" spans="1:16" x14ac:dyDescent="0.35">
      <c r="A39" s="200" t="s">
        <v>840</v>
      </c>
      <c r="B39" s="149" t="s">
        <v>209</v>
      </c>
      <c r="C39" s="192"/>
      <c r="D39" s="203"/>
      <c r="E39" s="150"/>
      <c r="G39" s="148"/>
      <c r="H39" s="107"/>
      <c r="I39" s="148"/>
      <c r="J39" s="178"/>
      <c r="K39" s="148"/>
      <c r="M39" s="148"/>
      <c r="N39" s="148"/>
    </row>
    <row r="40" spans="1:16" x14ac:dyDescent="0.35">
      <c r="A40" s="204"/>
      <c r="B40" s="205"/>
      <c r="C40" s="206"/>
      <c r="D40" s="150"/>
      <c r="E40" s="150"/>
      <c r="G40" s="148"/>
      <c r="H40" s="148"/>
      <c r="I40" s="148"/>
      <c r="J40" s="148"/>
      <c r="K40" s="148"/>
      <c r="L40" s="148"/>
      <c r="M40" s="148"/>
      <c r="P40" s="132"/>
    </row>
  </sheetData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A132F65B04AF94A9A11939F4A45E817" ma:contentTypeVersion="13" ma:contentTypeDescription="Create a new document." ma:contentTypeScope="" ma:versionID="607f43954e4710afa519c65ff49a3c11">
  <xsd:schema xmlns:xsd="http://www.w3.org/2001/XMLSchema" xmlns:xs="http://www.w3.org/2001/XMLSchema" xmlns:p="http://schemas.microsoft.com/office/2006/metadata/properties" xmlns:ns2="731f0a66-83c6-4fe7-9b0d-a18f6bda1310" xmlns:ns3="68fd4452-902e-4563-ba66-489f65dc0c64" targetNamespace="http://schemas.microsoft.com/office/2006/metadata/properties" ma:root="true" ma:fieldsID="03e0a3f6298555228f6f8eff462f312c" ns2:_="" ns3:_="">
    <xsd:import namespace="731f0a66-83c6-4fe7-9b0d-a18f6bda1310"/>
    <xsd:import namespace="68fd4452-902e-4563-ba66-489f65dc0c6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Comment" minOccurs="0"/>
                <xsd:element ref="ns3:SharedWithUsers" minOccurs="0"/>
                <xsd:element ref="ns3:SharedWithDetails" minOccurs="0"/>
                <xsd:element ref="ns2:Number" minOccurs="0"/>
                <xsd:element ref="ns2:MediaServiceOCR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1f0a66-83c6-4fe7-9b0d-a18f6bda131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Comment" ma:index="14" nillable="true" ma:displayName="Comment" ma:internalName="Comment">
      <xsd:simpleType>
        <xsd:restriction base="dms:Text">
          <xsd:maxLength value="255"/>
        </xsd:restriction>
      </xsd:simpleType>
    </xsd:element>
    <xsd:element name="Number" ma:index="17" nillable="true" ma:displayName="Number" ma:format="Dropdown" ma:internalName="Number" ma:percentage="FALSE">
      <xsd:simpleType>
        <xsd:restriction base="dms:Number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fd4452-902e-4563-ba66-489f65dc0c64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mment xmlns="731f0a66-83c6-4fe7-9b0d-a18f6bda1310" xsi:nil="true"/>
    <Number xmlns="731f0a66-83c6-4fe7-9b0d-a18f6bda1310" xsi:nil="true"/>
  </documentManagement>
</p:properties>
</file>

<file path=customXml/itemProps1.xml><?xml version="1.0" encoding="utf-8"?>
<ds:datastoreItem xmlns:ds="http://schemas.openxmlformats.org/officeDocument/2006/customXml" ds:itemID="{B7604C5E-BB0B-4A70-AB3E-E0E85B5EFF5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9A11C23-2F78-4B52-A43A-848A8E31362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31f0a66-83c6-4fe7-9b0d-a18f6bda1310"/>
    <ds:schemaRef ds:uri="68fd4452-902e-4563-ba66-489f65dc0c6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C2A31E6-5931-4C8B-BF12-290711A4D7E1}">
  <ds:schemaRefs>
    <ds:schemaRef ds:uri="http://purl.org/dc/terms/"/>
    <ds:schemaRef ds:uri="http://purl.org/dc/dcmitype/"/>
    <ds:schemaRef ds:uri="http://schemas.microsoft.com/office/2006/documentManagement/types"/>
    <ds:schemaRef ds:uri="http://purl.org/dc/elements/1.1/"/>
    <ds:schemaRef ds:uri="http://schemas.microsoft.com/office/2006/metadata/properties"/>
    <ds:schemaRef ds:uri="731f0a66-83c6-4fe7-9b0d-a18f6bda1310"/>
    <ds:schemaRef ds:uri="http://schemas.microsoft.com/office/infopath/2007/PartnerControls"/>
    <ds:schemaRef ds:uri="http://schemas.openxmlformats.org/package/2006/metadata/core-properties"/>
    <ds:schemaRef ds:uri="68fd4452-902e-4563-ba66-489f65dc0c64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247</vt:i4>
      </vt:variant>
    </vt:vector>
  </HeadingPairs>
  <TitlesOfParts>
    <vt:vector size="257" baseType="lpstr">
      <vt:lpstr>Entry points</vt:lpstr>
      <vt:lpstr>S.02.01.02</vt:lpstr>
      <vt:lpstr>S.05.01.02</vt:lpstr>
      <vt:lpstr>S.05.02.01</vt:lpstr>
      <vt:lpstr>S.12.01.02</vt:lpstr>
      <vt:lpstr>S.17.01.02</vt:lpstr>
      <vt:lpstr>S.19.01.21</vt:lpstr>
      <vt:lpstr>S.23.01.01</vt:lpstr>
      <vt:lpstr>S.25.02.21</vt:lpstr>
      <vt:lpstr>S.28.01.01</vt:lpstr>
      <vt:lpstr>S.02.01.02!S.02.01.01</vt:lpstr>
      <vt:lpstr>S.02.01.02!S.02.01.01.01</vt:lpstr>
      <vt:lpstr>S.02.01.02!S.02.01.01.01.TC</vt:lpstr>
      <vt:lpstr>S.02.01.02!S.02.01.01.01.TD</vt:lpstr>
      <vt:lpstr>S.02.01.02!S.02.01.01.01.TL</vt:lpstr>
      <vt:lpstr>S.02.01.02!S.02.01.01.01.TLC</vt:lpstr>
      <vt:lpstr>S.02.01.02!S.02.01.01.01.TT</vt:lpstr>
      <vt:lpstr>S.02.01.02!S.02.01.01.01.TTC</vt:lpstr>
      <vt:lpstr>S.02.01.02!S.02.01.01.01.X</vt:lpstr>
      <vt:lpstr>S.02.01.02!S.02.01.01.VC</vt:lpstr>
      <vt:lpstr>S.05.01.02!S.05.01.02</vt:lpstr>
      <vt:lpstr>S.05.01.02!S.05.01.02.01</vt:lpstr>
      <vt:lpstr>S.05.01.02!S.05.01.02.01.TC</vt:lpstr>
      <vt:lpstr>S.05.01.02!S.05.01.02.01.TD</vt:lpstr>
      <vt:lpstr>S.05.01.02!S.05.01.02.01.TL</vt:lpstr>
      <vt:lpstr>S.05.01.02!S.05.01.02.01.TLC</vt:lpstr>
      <vt:lpstr>S.05.01.02!S.05.01.02.01.TT</vt:lpstr>
      <vt:lpstr>S.05.01.02!S.05.01.02.01.TTC</vt:lpstr>
      <vt:lpstr>S.05.01.02!S.05.01.02.01.X</vt:lpstr>
      <vt:lpstr>S.05.01.02!S.05.01.02.01.Y</vt:lpstr>
      <vt:lpstr>S.05.01.02!S.05.01.02.01.Z</vt:lpstr>
      <vt:lpstr>S.05.01.02!S.05.01.02.02</vt:lpstr>
      <vt:lpstr>S.05.01.02!S.05.01.02.02.TC</vt:lpstr>
      <vt:lpstr>S.05.01.02!S.05.01.02.02.TD</vt:lpstr>
      <vt:lpstr>S.05.01.02!S.05.01.02.02.TL</vt:lpstr>
      <vt:lpstr>S.05.01.02!S.05.01.02.02.TLC</vt:lpstr>
      <vt:lpstr>S.05.01.02!S.05.01.02.02.TT</vt:lpstr>
      <vt:lpstr>S.05.01.02!S.05.01.02.02.TTC</vt:lpstr>
      <vt:lpstr>S.05.01.02!S.05.01.02.02.X</vt:lpstr>
      <vt:lpstr>S.05.01.02!S.05.01.02.02.Y</vt:lpstr>
      <vt:lpstr>S.05.01.02!S.05.01.02.02.Z</vt:lpstr>
      <vt:lpstr>S.05.01.02!S.05.01.02.VC</vt:lpstr>
      <vt:lpstr>S.05.02.01!S.05.02.01</vt:lpstr>
      <vt:lpstr>S.05.02.01!S.05.02.01.01</vt:lpstr>
      <vt:lpstr>S.05.02.01!S.05.02.01.01.TC</vt:lpstr>
      <vt:lpstr>S.05.02.01!S.05.02.01.01.TD</vt:lpstr>
      <vt:lpstr>S.05.02.01!S.05.02.01.01.TL</vt:lpstr>
      <vt:lpstr>S.05.02.01!S.05.02.01.01.TLC</vt:lpstr>
      <vt:lpstr>S.05.02.01!S.05.02.01.01.TT</vt:lpstr>
      <vt:lpstr>S.05.02.01!S.05.02.01.01.TTC</vt:lpstr>
      <vt:lpstr>S.05.02.01!S.05.02.01.01.X</vt:lpstr>
      <vt:lpstr>S.05.02.01!S.05.02.01.01.Y</vt:lpstr>
      <vt:lpstr>S.05.02.01!S.05.02.01.01.Z</vt:lpstr>
      <vt:lpstr>S.05.02.01!S.05.02.01.02</vt:lpstr>
      <vt:lpstr>S.05.02.01!S.05.02.01.02.TC</vt:lpstr>
      <vt:lpstr>S.05.02.01!S.05.02.01.02.TD</vt:lpstr>
      <vt:lpstr>S.05.02.01!S.05.02.01.02.TL</vt:lpstr>
      <vt:lpstr>S.05.02.01!S.05.02.01.02.TLC</vt:lpstr>
      <vt:lpstr>S.05.02.01!S.05.02.01.02.TT</vt:lpstr>
      <vt:lpstr>S.05.02.01!S.05.02.01.02.TTC</vt:lpstr>
      <vt:lpstr>S.05.02.01!S.05.02.01.02.X</vt:lpstr>
      <vt:lpstr>S.05.02.01!S.05.02.01.02.XAX</vt:lpstr>
      <vt:lpstr>S.05.02.01!S.05.02.01.02.Y</vt:lpstr>
      <vt:lpstr>S.05.02.01!S.05.02.01.02.Z</vt:lpstr>
      <vt:lpstr>S.05.02.01!S.05.02.01.03</vt:lpstr>
      <vt:lpstr>S.05.02.01!S.05.02.01.03.TC</vt:lpstr>
      <vt:lpstr>S.05.02.01!S.05.02.01.03.TD</vt:lpstr>
      <vt:lpstr>S.05.02.01!S.05.02.01.03.TL</vt:lpstr>
      <vt:lpstr>S.05.02.01!S.05.02.01.03.TLC</vt:lpstr>
      <vt:lpstr>S.05.02.01!S.05.02.01.03.TT</vt:lpstr>
      <vt:lpstr>S.05.02.01!S.05.02.01.03.TTC</vt:lpstr>
      <vt:lpstr>S.05.02.01!S.05.02.01.03.X</vt:lpstr>
      <vt:lpstr>S.05.02.01!S.05.02.01.03.Y</vt:lpstr>
      <vt:lpstr>S.05.02.01!S.05.02.01.03.Z</vt:lpstr>
      <vt:lpstr>S.05.02.01!S.05.02.01.04</vt:lpstr>
      <vt:lpstr>S.05.02.01!S.05.02.01.04.TC</vt:lpstr>
      <vt:lpstr>S.05.02.01!S.05.02.01.04.TD</vt:lpstr>
      <vt:lpstr>S.05.02.01!S.05.02.01.04.TL</vt:lpstr>
      <vt:lpstr>S.05.02.01!S.05.02.01.04.TLC</vt:lpstr>
      <vt:lpstr>S.05.02.01!S.05.02.01.04.TT</vt:lpstr>
      <vt:lpstr>S.05.02.01!S.05.02.01.04.TTC</vt:lpstr>
      <vt:lpstr>S.05.02.01!S.05.02.01.04.X</vt:lpstr>
      <vt:lpstr>S.05.02.01!S.05.02.01.04.Y</vt:lpstr>
      <vt:lpstr>S.05.02.01!S.05.02.01.04.Z</vt:lpstr>
      <vt:lpstr>S.05.02.01!S.05.02.01.05</vt:lpstr>
      <vt:lpstr>S.05.02.01!S.05.02.01.05.TC</vt:lpstr>
      <vt:lpstr>S.05.02.01!S.05.02.01.05.TD</vt:lpstr>
      <vt:lpstr>S.05.02.01!S.05.02.01.05.TL</vt:lpstr>
      <vt:lpstr>S.05.02.01!S.05.02.01.05.TLC</vt:lpstr>
      <vt:lpstr>S.05.02.01!S.05.02.01.05.TT</vt:lpstr>
      <vt:lpstr>S.05.02.01!S.05.02.01.05.TTC</vt:lpstr>
      <vt:lpstr>S.05.02.01!S.05.02.01.05.X</vt:lpstr>
      <vt:lpstr>S.05.02.01!S.05.02.01.05.XAX</vt:lpstr>
      <vt:lpstr>S.05.02.01!S.05.02.01.05.Y</vt:lpstr>
      <vt:lpstr>S.05.02.01!S.05.02.01.05.Z</vt:lpstr>
      <vt:lpstr>S.05.02.01!S.05.02.01.06</vt:lpstr>
      <vt:lpstr>S.05.02.01!S.05.02.01.06.TC</vt:lpstr>
      <vt:lpstr>S.05.02.01!S.05.02.01.06.TD</vt:lpstr>
      <vt:lpstr>S.05.02.01!S.05.02.01.06.TL</vt:lpstr>
      <vt:lpstr>S.05.02.01!S.05.02.01.06.TLC</vt:lpstr>
      <vt:lpstr>S.05.02.01!S.05.02.01.06.TT</vt:lpstr>
      <vt:lpstr>S.05.02.01!S.05.02.01.06.TTC</vt:lpstr>
      <vt:lpstr>S.05.02.01!S.05.02.01.06.X</vt:lpstr>
      <vt:lpstr>S.05.02.01!S.05.02.01.06.Y</vt:lpstr>
      <vt:lpstr>S.05.02.01!S.05.02.01.06.Z</vt:lpstr>
      <vt:lpstr>S.05.02.01!S.05.02.01.VC</vt:lpstr>
      <vt:lpstr>S.12.01.02!S.12.01.02</vt:lpstr>
      <vt:lpstr>S.12.01.02!S.12.01.02.01</vt:lpstr>
      <vt:lpstr>S.12.01.02!S.12.01.02.01.TC</vt:lpstr>
      <vt:lpstr>S.12.01.02!S.12.01.02.01.TD</vt:lpstr>
      <vt:lpstr>S.12.01.02!S.12.01.02.01.TL</vt:lpstr>
      <vt:lpstr>S.12.01.02!S.12.01.02.01.TLC</vt:lpstr>
      <vt:lpstr>S.12.01.02!S.12.01.02.01.TT</vt:lpstr>
      <vt:lpstr>S.12.01.02!S.12.01.02.01.TTC</vt:lpstr>
      <vt:lpstr>S.12.01.02!S.12.01.02.01.X</vt:lpstr>
      <vt:lpstr>S.12.01.02!S.12.01.02.01.Y</vt:lpstr>
      <vt:lpstr>S.12.01.02!S.12.01.02.VC</vt:lpstr>
      <vt:lpstr>S.17.01.02!S.17.01.02</vt:lpstr>
      <vt:lpstr>S.17.01.02!S.17.01.02.01</vt:lpstr>
      <vt:lpstr>S.17.01.02!S.17.01.02.01.TC</vt:lpstr>
      <vt:lpstr>S.17.01.02!S.17.01.02.01.TD</vt:lpstr>
      <vt:lpstr>S.17.01.02!S.17.01.02.01.TL</vt:lpstr>
      <vt:lpstr>S.17.01.02!S.17.01.02.01.TLC</vt:lpstr>
      <vt:lpstr>S.17.01.02!S.17.01.02.01.TT</vt:lpstr>
      <vt:lpstr>S.17.01.02!S.17.01.02.01.TTC</vt:lpstr>
      <vt:lpstr>S.17.01.02!S.17.01.02.01.X</vt:lpstr>
      <vt:lpstr>S.17.01.02!S.17.01.02.01.Y</vt:lpstr>
      <vt:lpstr>S.17.01.02!S.17.01.02.VC</vt:lpstr>
      <vt:lpstr>S.19.01.21!S.19.01.21</vt:lpstr>
      <vt:lpstr>S.19.01.21!S.19.01.21.01</vt:lpstr>
      <vt:lpstr>S.19.01.21!S.19.01.21.01.TC</vt:lpstr>
      <vt:lpstr>S.19.01.21!S.19.01.21.01.TD</vt:lpstr>
      <vt:lpstr>S.19.01.21!S.19.01.21.01.TL</vt:lpstr>
      <vt:lpstr>S.19.01.21!S.19.01.21.01.TLC</vt:lpstr>
      <vt:lpstr>S.19.01.21!S.19.01.21.01.TT</vt:lpstr>
      <vt:lpstr>S.19.01.21!S.19.01.21.01.TTC</vt:lpstr>
      <vt:lpstr>S.19.01.21!S.19.01.21.01.X</vt:lpstr>
      <vt:lpstr>S.19.01.21!S.19.01.21.01.Y</vt:lpstr>
      <vt:lpstr>S.19.01.21!S.19.01.21.01.Z</vt:lpstr>
      <vt:lpstr>S.19.01.21!S.19.01.21.01.ZHI</vt:lpstr>
      <vt:lpstr>S.19.01.21!S.19.01.21.02</vt:lpstr>
      <vt:lpstr>S.19.01.21!S.19.01.21.02.TC</vt:lpstr>
      <vt:lpstr>S.19.01.21!S.19.01.21.02.TD</vt:lpstr>
      <vt:lpstr>S.19.01.21!S.19.01.21.02.TL</vt:lpstr>
      <vt:lpstr>S.19.01.21!S.19.01.21.02.TLC</vt:lpstr>
      <vt:lpstr>S.19.01.21!S.19.01.21.02.TT</vt:lpstr>
      <vt:lpstr>S.19.01.21!S.19.01.21.02.TTC</vt:lpstr>
      <vt:lpstr>S.19.01.21!S.19.01.21.02.X</vt:lpstr>
      <vt:lpstr>S.19.01.21!S.19.01.21.02.Y</vt:lpstr>
      <vt:lpstr>S.19.01.21!S.19.01.21.02.Z</vt:lpstr>
      <vt:lpstr>S.19.01.21!S.19.01.21.02.ZHI</vt:lpstr>
      <vt:lpstr>S.19.01.21!S.19.01.21.03</vt:lpstr>
      <vt:lpstr>S.19.01.21!S.19.01.21.03.TC</vt:lpstr>
      <vt:lpstr>S.19.01.21!S.19.01.21.03.TD</vt:lpstr>
      <vt:lpstr>S.19.01.21!S.19.01.21.03.TL</vt:lpstr>
      <vt:lpstr>S.19.01.21!S.19.01.21.03.TLC</vt:lpstr>
      <vt:lpstr>S.19.01.21!S.19.01.21.03.TT</vt:lpstr>
      <vt:lpstr>S.19.01.21!S.19.01.21.03.TTC</vt:lpstr>
      <vt:lpstr>S.19.01.21!S.19.01.21.03.X</vt:lpstr>
      <vt:lpstr>S.19.01.21!S.19.01.21.03.Y</vt:lpstr>
      <vt:lpstr>S.19.01.21!S.19.01.21.03.Z</vt:lpstr>
      <vt:lpstr>S.19.01.21!S.19.01.21.03.ZHI</vt:lpstr>
      <vt:lpstr>S.19.01.21!S.19.01.21.04</vt:lpstr>
      <vt:lpstr>S.19.01.21!S.19.01.21.04.TC</vt:lpstr>
      <vt:lpstr>S.19.01.21!S.19.01.21.04.TD</vt:lpstr>
      <vt:lpstr>S.19.01.21!S.19.01.21.04.TL</vt:lpstr>
      <vt:lpstr>S.19.01.21!S.19.01.21.04.TLC</vt:lpstr>
      <vt:lpstr>S.19.01.21!S.19.01.21.04.TT</vt:lpstr>
      <vt:lpstr>S.19.01.21!S.19.01.21.04.TTC</vt:lpstr>
      <vt:lpstr>S.19.01.21!S.19.01.21.04.Y</vt:lpstr>
      <vt:lpstr>S.19.01.21!S.19.01.21.04.Z</vt:lpstr>
      <vt:lpstr>S.19.01.21!S.19.01.21.04.ZHI</vt:lpstr>
      <vt:lpstr>S.19.01.21!S.19.01.21.VC</vt:lpstr>
      <vt:lpstr>S.23.01.01!S.23.01.01</vt:lpstr>
      <vt:lpstr>S.23.01.01!S.23.01.01.01</vt:lpstr>
      <vt:lpstr>S.23.01.01!S.23.01.01.01.TC</vt:lpstr>
      <vt:lpstr>S.23.01.01!S.23.01.01.01.TD</vt:lpstr>
      <vt:lpstr>S.23.01.01!S.23.01.01.01.TL</vt:lpstr>
      <vt:lpstr>S.23.01.01!S.23.01.01.01.TLC</vt:lpstr>
      <vt:lpstr>S.23.01.01!S.23.01.01.01.TT</vt:lpstr>
      <vt:lpstr>S.23.01.01!S.23.01.01.01.TTC</vt:lpstr>
      <vt:lpstr>S.23.01.01!S.23.01.01.01.X</vt:lpstr>
      <vt:lpstr>S.23.01.01!S.23.01.01.01.Y</vt:lpstr>
      <vt:lpstr>S.23.01.01!S.23.01.01.01.Z</vt:lpstr>
      <vt:lpstr>S.23.01.01!S.23.01.01.02</vt:lpstr>
      <vt:lpstr>S.23.01.01!S.23.01.01.02.TC</vt:lpstr>
      <vt:lpstr>S.23.01.01!S.23.01.01.02.TD</vt:lpstr>
      <vt:lpstr>S.23.01.01!S.23.01.01.02.TL</vt:lpstr>
      <vt:lpstr>S.23.01.01!S.23.01.01.02.TLC</vt:lpstr>
      <vt:lpstr>S.23.01.01!S.23.01.01.02.TTC</vt:lpstr>
      <vt:lpstr>S.23.01.01!S.23.01.01.02.Y</vt:lpstr>
      <vt:lpstr>S.23.01.01!S.23.01.01.02.Z</vt:lpstr>
      <vt:lpstr>S.23.01.01!S.23.01.01.VC</vt:lpstr>
      <vt:lpstr>S.25.02.21!S.25.02.21</vt:lpstr>
      <vt:lpstr>S.25.02.21!S.25.02.21.01</vt:lpstr>
      <vt:lpstr>S.25.02.21!S.25.02.21.01.TC</vt:lpstr>
      <vt:lpstr>S.25.02.21!S.25.02.21.01.TD</vt:lpstr>
      <vt:lpstr>S.25.02.21!S.25.02.21.01.TK</vt:lpstr>
      <vt:lpstr>S.25.02.21!S.25.02.21.01.TKC</vt:lpstr>
      <vt:lpstr>S.25.02.21!S.25.02.21.01.TT</vt:lpstr>
      <vt:lpstr>S.25.02.21!S.25.02.21.01.TTC</vt:lpstr>
      <vt:lpstr>S.25.02.21!S.25.02.21.01.X</vt:lpstr>
      <vt:lpstr>S.25.02.21!S.25.02.21.01.Y</vt:lpstr>
      <vt:lpstr>S.25.02.21!S.25.02.21.02</vt:lpstr>
      <vt:lpstr>S.25.02.21!S.25.02.21.02.TC</vt:lpstr>
      <vt:lpstr>S.25.02.21!S.25.02.21.02.TD</vt:lpstr>
      <vt:lpstr>S.25.02.21!S.25.02.21.02.TL</vt:lpstr>
      <vt:lpstr>S.25.02.21!S.25.02.21.02.TLC</vt:lpstr>
      <vt:lpstr>S.25.02.21!S.25.02.21.02.TTC</vt:lpstr>
      <vt:lpstr>S.25.02.21!S.25.02.21.02.Y</vt:lpstr>
      <vt:lpstr>S.25.02.21!S.25.02.21.02.Z</vt:lpstr>
      <vt:lpstr>S.25.02.21!S.25.02.21.VC</vt:lpstr>
      <vt:lpstr>S.28.01.01!S.28.01.01</vt:lpstr>
      <vt:lpstr>S.28.01.01!S.28.01.01.01</vt:lpstr>
      <vt:lpstr>S.28.01.01!S.28.01.01.01.TC</vt:lpstr>
      <vt:lpstr>S.28.01.01!S.28.01.01.01.TD</vt:lpstr>
      <vt:lpstr>S.28.01.01!S.28.01.01.01.TL</vt:lpstr>
      <vt:lpstr>S.28.01.01!S.28.01.01.01.TLC</vt:lpstr>
      <vt:lpstr>S.28.01.01!S.28.01.01.01.TT</vt:lpstr>
      <vt:lpstr>S.28.01.01!S.28.01.01.01.TTC</vt:lpstr>
      <vt:lpstr>S.28.01.01!S.28.01.01.01.Y</vt:lpstr>
      <vt:lpstr>S.28.01.01!S.28.01.01.02</vt:lpstr>
      <vt:lpstr>S.28.01.01!S.28.01.01.02.TC</vt:lpstr>
      <vt:lpstr>S.28.01.01!S.28.01.01.02.TD</vt:lpstr>
      <vt:lpstr>S.28.01.01!S.28.01.01.02.TL</vt:lpstr>
      <vt:lpstr>S.28.01.01!S.28.01.01.02.TLC</vt:lpstr>
      <vt:lpstr>S.28.01.01!S.28.01.01.02.TT</vt:lpstr>
      <vt:lpstr>S.28.01.01!S.28.01.01.02.TTC</vt:lpstr>
      <vt:lpstr>S.28.01.01!S.28.01.01.02.X</vt:lpstr>
      <vt:lpstr>S.28.01.01!S.28.01.01.02.Y</vt:lpstr>
      <vt:lpstr>S.28.01.01!S.28.01.01.02.Z</vt:lpstr>
      <vt:lpstr>S.28.01.01!S.28.01.01.03</vt:lpstr>
      <vt:lpstr>S.28.01.01!S.28.01.01.03.TC</vt:lpstr>
      <vt:lpstr>S.28.01.01!S.28.01.01.03.TD</vt:lpstr>
      <vt:lpstr>S.28.01.01!S.28.01.01.03.TL</vt:lpstr>
      <vt:lpstr>S.28.01.01!S.28.01.01.03.TLC</vt:lpstr>
      <vt:lpstr>S.28.01.01!S.28.01.01.03.TTC</vt:lpstr>
      <vt:lpstr>S.28.01.01!S.28.01.01.03.Y</vt:lpstr>
      <vt:lpstr>S.28.01.01!S.28.01.01.04</vt:lpstr>
      <vt:lpstr>S.28.01.01!S.28.01.01.04.TC</vt:lpstr>
      <vt:lpstr>S.28.01.01!S.28.01.01.04.TD</vt:lpstr>
      <vt:lpstr>S.28.01.01!S.28.01.01.04.TL</vt:lpstr>
      <vt:lpstr>S.28.01.01!S.28.01.01.04.TLC</vt:lpstr>
      <vt:lpstr>S.28.01.01!S.28.01.01.04.TT</vt:lpstr>
      <vt:lpstr>S.28.01.01!S.28.01.01.04.TTC</vt:lpstr>
      <vt:lpstr>S.28.01.01!S.28.01.01.04.X</vt:lpstr>
      <vt:lpstr>S.28.01.01!S.28.01.01.04.Y</vt:lpstr>
      <vt:lpstr>S.28.01.01!S.28.01.01.04.Z</vt:lpstr>
      <vt:lpstr>S.28.01.01!S.28.01.01.05</vt:lpstr>
      <vt:lpstr>S.28.01.01!S.28.01.01.05.TC</vt:lpstr>
      <vt:lpstr>S.28.01.01!S.28.01.01.05.TD</vt:lpstr>
      <vt:lpstr>S.28.01.01!S.28.01.01.05.TL</vt:lpstr>
      <vt:lpstr>S.28.01.01!S.28.01.01.05.TLC</vt:lpstr>
      <vt:lpstr>S.28.01.01!S.28.01.01.05.TTC</vt:lpstr>
      <vt:lpstr>S.28.01.01!S.28.01.01.05.Y</vt:lpstr>
      <vt:lpstr>S.28.01.01!S.28.01.01.05.Z</vt:lpstr>
      <vt:lpstr>S.28.01.01!S.28.01.01.VC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Hansson, David</dc:creator>
  <cp:keywords/>
  <dc:description/>
  <cp:lastModifiedBy>Hernberg, Nina</cp:lastModifiedBy>
  <cp:revision/>
  <dcterms:created xsi:type="dcterms:W3CDTF">2020-03-13T15:35:22Z</dcterms:created>
  <dcterms:modified xsi:type="dcterms:W3CDTF">2020-03-31T09:13:27Z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0x0101000A132F65B04AF94A9A11939F4A45E817</vt:lpwstr>
  </property>
</Properties>
</file>